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EBC730E-653E-41CF-80A1-0B81B1C8AA1C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F164" i="1" l="1"/>
  <c r="N68" i="1" l="1"/>
  <c r="F163" i="1"/>
  <c r="F162" i="1"/>
  <c r="F161" i="1"/>
  <c r="L70" i="1"/>
  <c r="L69" i="1"/>
  <c r="N67" i="1" l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H212" i="1"/>
  <c r="F246" i="1"/>
  <c r="F244" i="1"/>
  <c r="F243" i="1"/>
  <c r="F242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1" i="1"/>
  <c r="F252" i="1"/>
  <c r="F251" i="1"/>
  <c r="F250" i="1"/>
  <c r="F249" i="1"/>
  <c r="F248" i="1"/>
  <c r="F247" i="1"/>
  <c r="F245" i="1"/>
  <c r="F240" i="1"/>
  <c r="F239" i="1"/>
  <c r="F238" i="1"/>
  <c r="F237" i="1"/>
  <c r="F236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18" i="1"/>
  <c r="F217" i="1"/>
  <c r="F216" i="1"/>
  <c r="F215" i="1"/>
  <c r="F214" i="1"/>
  <c r="F213" i="1"/>
  <c r="F211" i="1"/>
  <c r="F64" i="1" l="1"/>
  <c r="F66" i="1"/>
  <c r="F67" i="1"/>
  <c r="H60" i="1"/>
  <c r="H65" i="1"/>
  <c r="H66" i="1"/>
  <c r="H67" i="1"/>
  <c r="H68" i="1"/>
  <c r="H69" i="1"/>
  <c r="H54" i="1"/>
  <c r="H55" i="1"/>
  <c r="H57" i="1"/>
  <c r="H51" i="1"/>
  <c r="H52" i="1"/>
  <c r="H53" i="1"/>
  <c r="F57" i="1"/>
  <c r="F30" i="1" l="1"/>
  <c r="D44" i="1"/>
  <c r="L58" i="1"/>
  <c r="N52" i="1"/>
  <c r="L48" i="1"/>
  <c r="L68" i="1"/>
  <c r="J69" i="1"/>
  <c r="J68" i="1"/>
  <c r="N66" i="1"/>
  <c r="J64" i="1"/>
  <c r="L67" i="1" l="1"/>
  <c r="L66" i="1"/>
  <c r="J67" i="1"/>
  <c r="D90" i="1" l="1"/>
  <c r="L40" i="1" l="1"/>
  <c r="F208" i="1" l="1"/>
  <c r="F207" i="1"/>
  <c r="N201" i="1" l="1"/>
  <c r="N204" i="1"/>
  <c r="N203" i="1"/>
  <c r="N202" i="1"/>
  <c r="N91" i="1" l="1"/>
  <c r="L39" i="1" l="1"/>
  <c r="H9" i="1" l="1"/>
  <c r="H8" i="1"/>
  <c r="N159" i="1" l="1"/>
  <c r="N158" i="1"/>
  <c r="N157" i="1"/>
  <c r="N156" i="1"/>
  <c r="L175" i="1"/>
  <c r="N200" i="1" l="1"/>
  <c r="N199" i="1"/>
  <c r="N198" i="1"/>
  <c r="N197" i="1"/>
  <c r="N196" i="1"/>
  <c r="N193" i="1" l="1"/>
  <c r="N195" i="1"/>
  <c r="N194" i="1"/>
  <c r="L170" i="1" l="1"/>
  <c r="L169" i="1"/>
  <c r="N155" i="1" l="1"/>
  <c r="N154" i="1"/>
  <c r="N153" i="1"/>
  <c r="L176" i="1"/>
  <c r="L174" i="1"/>
  <c r="L173" i="1"/>
  <c r="L172" i="1"/>
  <c r="L171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H176" i="1"/>
  <c r="H175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F50" i="1" l="1"/>
  <c r="F47" i="1"/>
  <c r="F48" i="1"/>
  <c r="F51" i="1"/>
  <c r="F54" i="1"/>
  <c r="F55" i="1"/>
  <c r="J65" i="1" l="1"/>
  <c r="B73" i="1" l="1"/>
  <c r="L74" i="1"/>
  <c r="D60" i="1"/>
  <c r="D59" i="1"/>
  <c r="D58" i="1"/>
  <c r="D57" i="1"/>
  <c r="D56" i="1"/>
  <c r="D55" i="1"/>
  <c r="D53" i="1"/>
  <c r="D52" i="1"/>
  <c r="D51" i="1"/>
  <c r="D50" i="1"/>
  <c r="D49" i="1"/>
  <c r="D48" i="1"/>
  <c r="D47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L92" i="1" l="1"/>
  <c r="L91" i="1"/>
  <c r="L7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H90" i="1"/>
  <c r="H89" i="1"/>
  <c r="H88" i="1"/>
  <c r="H87" i="1"/>
  <c r="H86" i="1"/>
  <c r="H85" i="1"/>
  <c r="H84" i="1"/>
  <c r="H83" i="1"/>
  <c r="H82" i="1"/>
  <c r="H81" i="1"/>
  <c r="H79" i="1"/>
  <c r="H78" i="1"/>
  <c r="H77" i="1"/>
  <c r="H76" i="1"/>
  <c r="H75" i="1"/>
  <c r="H74" i="1"/>
  <c r="H73" i="1"/>
  <c r="D86" i="1" l="1"/>
  <c r="D85" i="1"/>
  <c r="D84" i="1"/>
  <c r="D89" i="1"/>
  <c r="D88" i="1"/>
  <c r="L19" i="1"/>
  <c r="L20" i="1"/>
  <c r="L21" i="1"/>
  <c r="L23" i="1"/>
  <c r="L24" i="1"/>
  <c r="L26" i="1"/>
  <c r="L27" i="1"/>
  <c r="L28" i="1"/>
  <c r="L29" i="1"/>
  <c r="L30" i="1"/>
  <c r="L31" i="1"/>
  <c r="L32" i="1"/>
  <c r="L34" i="1"/>
  <c r="L35" i="1"/>
  <c r="L37" i="1"/>
  <c r="L38" i="1"/>
  <c r="J141" i="1" l="1"/>
  <c r="J142" i="1"/>
  <c r="J143" i="1"/>
  <c r="J144" i="1"/>
  <c r="J145" i="1"/>
  <c r="J146" i="1"/>
  <c r="J147" i="1"/>
  <c r="J148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F148" i="1"/>
  <c r="F147" i="1"/>
  <c r="F146" i="1"/>
  <c r="F145" i="1"/>
  <c r="F143" i="1"/>
  <c r="F142" i="1"/>
  <c r="F144" i="1"/>
  <c r="F141" i="1"/>
  <c r="F140" i="1"/>
  <c r="F139" i="1"/>
  <c r="F138" i="1"/>
  <c r="F137" i="1"/>
  <c r="F136" i="1"/>
  <c r="F135" i="1"/>
  <c r="F134" i="1"/>
  <c r="F130" i="1"/>
  <c r="F131" i="1"/>
  <c r="F132" i="1"/>
  <c r="F133" i="1"/>
  <c r="F129" i="1"/>
  <c r="D148" i="1"/>
  <c r="D147" i="1"/>
  <c r="D146" i="1"/>
  <c r="D145" i="1"/>
  <c r="D144" i="1"/>
  <c r="D143" i="1"/>
  <c r="D142" i="1"/>
  <c r="D141" i="1"/>
  <c r="D140" i="1"/>
  <c r="D139" i="1"/>
  <c r="D138" i="1"/>
  <c r="D135" i="1"/>
  <c r="D134" i="1"/>
  <c r="D133" i="1"/>
  <c r="D132" i="1"/>
  <c r="D131" i="1"/>
  <c r="D130" i="1"/>
  <c r="D129" i="1"/>
  <c r="B148" i="1"/>
  <c r="B147" i="1"/>
  <c r="B146" i="1"/>
  <c r="B144" i="1"/>
  <c r="B143" i="1"/>
  <c r="B142" i="1"/>
  <c r="B141" i="1"/>
  <c r="B140" i="1"/>
  <c r="B139" i="1"/>
  <c r="B138" i="1"/>
  <c r="B137" i="1"/>
  <c r="B136" i="1"/>
  <c r="B145" i="1"/>
  <c r="B135" i="1"/>
  <c r="B134" i="1"/>
  <c r="B133" i="1"/>
  <c r="B132" i="1"/>
  <c r="B131" i="1"/>
  <c r="B130" i="1"/>
  <c r="B129" i="1"/>
  <c r="J111" i="1" l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D83" i="1" l="1"/>
  <c r="D81" i="1"/>
  <c r="D80" i="1"/>
  <c r="D79" i="1"/>
  <c r="D78" i="1"/>
  <c r="D77" i="1"/>
  <c r="D76" i="1"/>
  <c r="D75" i="1"/>
  <c r="D74" i="1"/>
  <c r="D73" i="1"/>
  <c r="B87" i="1"/>
  <c r="B85" i="1"/>
  <c r="B84" i="1"/>
  <c r="B81" i="1"/>
  <c r="B80" i="1"/>
  <c r="B77" i="1"/>
  <c r="L14" i="1" l="1"/>
  <c r="L13" i="1"/>
  <c r="L12" i="1"/>
  <c r="L10" i="1"/>
  <c r="L9" i="1"/>
  <c r="L7" i="1"/>
  <c r="L65" i="1" l="1"/>
  <c r="F160" i="1" l="1"/>
  <c r="N63" i="1" l="1"/>
  <c r="N62" i="1"/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J9" i="1"/>
  <c r="J8" i="1"/>
  <c r="J7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7" i="1"/>
  <c r="H20" i="1"/>
  <c r="H18" i="1"/>
  <c r="H17" i="1"/>
  <c r="H16" i="1"/>
  <c r="H15" i="1"/>
  <c r="H14" i="1"/>
  <c r="H13" i="1"/>
  <c r="H11" i="1"/>
  <c r="N167" i="1" l="1"/>
  <c r="N166" i="1"/>
  <c r="N165" i="1"/>
  <c r="N164" i="1"/>
  <c r="N163" i="1"/>
  <c r="N64" i="1" l="1"/>
  <c r="N61" i="1" l="1"/>
  <c r="N60" i="1"/>
  <c r="N59" i="1"/>
  <c r="N58" i="1"/>
  <c r="N57" i="1"/>
  <c r="N56" i="1"/>
  <c r="N55" i="1"/>
  <c r="N54" i="1"/>
  <c r="N53" i="1"/>
  <c r="N51" i="1"/>
  <c r="N50" i="1"/>
  <c r="N49" i="1"/>
  <c r="N48" i="1"/>
  <c r="N47" i="1"/>
  <c r="L64" i="1"/>
  <c r="L63" i="1"/>
  <c r="L62" i="1"/>
  <c r="L61" i="1"/>
  <c r="L60" i="1"/>
  <c r="L59" i="1"/>
  <c r="L57" i="1"/>
  <c r="L56" i="1"/>
  <c r="L55" i="1"/>
  <c r="L54" i="1"/>
  <c r="L52" i="1"/>
  <c r="L51" i="1"/>
  <c r="L50" i="1"/>
  <c r="L49" i="1"/>
  <c r="L47" i="1"/>
  <c r="J63" i="1"/>
  <c r="J62" i="1"/>
  <c r="J61" i="1"/>
  <c r="J60" i="1"/>
  <c r="J59" i="1"/>
  <c r="J58" i="1"/>
  <c r="J56" i="1"/>
  <c r="J55" i="1"/>
  <c r="J54" i="1"/>
  <c r="J53" i="1"/>
  <c r="J52" i="1"/>
  <c r="J51" i="1"/>
  <c r="J49" i="1"/>
  <c r="J48" i="1"/>
  <c r="N41" i="1" l="1"/>
  <c r="D190" i="1" l="1"/>
  <c r="D189" i="1"/>
  <c r="D188" i="1"/>
  <c r="D187" i="1"/>
  <c r="D186" i="1"/>
  <c r="D185" i="1"/>
  <c r="D184" i="1"/>
  <c r="D183" i="1"/>
  <c r="D182" i="1"/>
  <c r="D181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N40" i="1"/>
  <c r="N38" i="1"/>
  <c r="N37" i="1"/>
  <c r="N36" i="1"/>
  <c r="N35" i="1"/>
  <c r="N34" i="1"/>
  <c r="N33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4" i="1"/>
  <c r="N15" i="1"/>
  <c r="N13" i="1"/>
  <c r="N12" i="1"/>
  <c r="N11" i="1"/>
  <c r="N10" i="1"/>
  <c r="N9" i="1"/>
  <c r="N8" i="1"/>
  <c r="N7" i="1"/>
  <c r="N83" i="1" l="1"/>
  <c r="F159" i="1" l="1"/>
  <c r="H174" i="1" l="1"/>
</calcChain>
</file>

<file path=xl/sharedStrings.xml><?xml version="1.0" encoding="utf-8"?>
<sst xmlns="http://schemas.openxmlformats.org/spreadsheetml/2006/main" count="439" uniqueCount="323">
  <si>
    <t>CASA CACHITO</t>
  </si>
  <si>
    <r>
      <rPr>
        <b/>
        <sz val="14"/>
        <rFont val="Arial"/>
        <family val="2"/>
        <charset val="1"/>
      </rPr>
      <t xml:space="preserve">DISTRIBUIDOR – MAYORISTA – ( ENVIO AL INTERIOR EN EL DIA ) </t>
    </r>
    <r>
      <rPr>
        <b/>
        <sz val="14"/>
        <color rgb="FFFF0000"/>
        <rFont val="Arial"/>
        <family val="2"/>
        <charset val="1"/>
      </rPr>
      <t>WHATSAPP 01138422018</t>
    </r>
  </si>
  <si>
    <t>Actualizado al :</t>
  </si>
  <si>
    <t xml:space="preserve">PRECIOS SUJETOS A MODIFICACIONES SIN PREVIO AVISO </t>
  </si>
  <si>
    <t>www.grancachito.com</t>
  </si>
  <si>
    <t>M. KOURY</t>
  </si>
  <si>
    <t>BRIGITTE</t>
  </si>
  <si>
    <t>MAIA</t>
  </si>
  <si>
    <t>ELEMENTO</t>
  </si>
  <si>
    <t>ART.</t>
  </si>
  <si>
    <t>PRECIO</t>
  </si>
  <si>
    <t>101D</t>
  </si>
  <si>
    <t>102D</t>
  </si>
  <si>
    <t>102L</t>
  </si>
  <si>
    <t>101L</t>
  </si>
  <si>
    <t>022</t>
  </si>
  <si>
    <t>023</t>
  </si>
  <si>
    <t>B1</t>
  </si>
  <si>
    <t>B6</t>
  </si>
  <si>
    <t>B8</t>
  </si>
  <si>
    <t>B9</t>
  </si>
  <si>
    <t>B15</t>
  </si>
  <si>
    <t>B30</t>
  </si>
  <si>
    <t>1020/1</t>
  </si>
  <si>
    <t>B32</t>
  </si>
  <si>
    <t>1020/2/3</t>
  </si>
  <si>
    <t>600/M</t>
  </si>
  <si>
    <t>B34</t>
  </si>
  <si>
    <t>601/M</t>
  </si>
  <si>
    <t>G13</t>
  </si>
  <si>
    <t>5748/4</t>
  </si>
  <si>
    <t>011</t>
  </si>
  <si>
    <t>953D</t>
  </si>
  <si>
    <t>ARETHA</t>
  </si>
  <si>
    <t>MAREY</t>
  </si>
  <si>
    <t>NATUBEL</t>
  </si>
  <si>
    <t xml:space="preserve">ART. </t>
  </si>
  <si>
    <t>ART</t>
  </si>
  <si>
    <t>97E</t>
  </si>
  <si>
    <t>99E</t>
  </si>
  <si>
    <t>322E</t>
  </si>
  <si>
    <t>996E</t>
  </si>
  <si>
    <t>BOXER</t>
  </si>
  <si>
    <t>AIAM</t>
  </si>
  <si>
    <t>PASIONEL</t>
  </si>
  <si>
    <t>KAURY</t>
  </si>
  <si>
    <t>200</t>
  </si>
  <si>
    <t>F02</t>
  </si>
  <si>
    <t>210</t>
  </si>
  <si>
    <t>F03</t>
  </si>
  <si>
    <t>4030</t>
  </si>
  <si>
    <t>F12</t>
  </si>
  <si>
    <t>4710</t>
  </si>
  <si>
    <t>410</t>
  </si>
  <si>
    <t>F15</t>
  </si>
  <si>
    <t>4790</t>
  </si>
  <si>
    <t>20</t>
  </si>
  <si>
    <t>420</t>
  </si>
  <si>
    <t>F26</t>
  </si>
  <si>
    <t>F27</t>
  </si>
  <si>
    <t>30</t>
  </si>
  <si>
    <t>440</t>
  </si>
  <si>
    <t>F28</t>
  </si>
  <si>
    <t>7080</t>
  </si>
  <si>
    <t>F52</t>
  </si>
  <si>
    <t>8070</t>
  </si>
  <si>
    <t>8090</t>
  </si>
  <si>
    <t>100</t>
  </si>
  <si>
    <t>8091</t>
  </si>
  <si>
    <t>110</t>
  </si>
  <si>
    <t>910</t>
  </si>
  <si>
    <t>8097</t>
  </si>
  <si>
    <t>8099</t>
  </si>
  <si>
    <t>8100</t>
  </si>
  <si>
    <t>BOXER G3</t>
  </si>
  <si>
    <t>BERLIN</t>
  </si>
  <si>
    <t>LODY</t>
  </si>
  <si>
    <t>LODY SPORT</t>
  </si>
  <si>
    <t>LEBNEN</t>
  </si>
  <si>
    <t>680</t>
  </si>
  <si>
    <t>300/1</t>
  </si>
  <si>
    <t>5105/1</t>
  </si>
  <si>
    <t>3200B</t>
  </si>
  <si>
    <t>3401B</t>
  </si>
  <si>
    <t>5145/1</t>
  </si>
  <si>
    <t>3401C</t>
  </si>
  <si>
    <t>LODY PERFECT</t>
  </si>
  <si>
    <t>5154/1</t>
  </si>
  <si>
    <t>500</t>
  </si>
  <si>
    <t>580</t>
  </si>
  <si>
    <t>5155/1</t>
  </si>
  <si>
    <t>600</t>
  </si>
  <si>
    <t>610</t>
  </si>
  <si>
    <t>620</t>
  </si>
  <si>
    <t>5208/1</t>
  </si>
  <si>
    <t>630</t>
  </si>
  <si>
    <t>650</t>
  </si>
  <si>
    <t>LODY MEN</t>
  </si>
  <si>
    <t>MELIFERA</t>
  </si>
  <si>
    <t xml:space="preserve">M742 </t>
  </si>
  <si>
    <t>M882</t>
  </si>
  <si>
    <t>M910</t>
  </si>
  <si>
    <t>M933</t>
  </si>
  <si>
    <t>M950</t>
  </si>
  <si>
    <t>M742/1</t>
  </si>
  <si>
    <t>M883</t>
  </si>
  <si>
    <t>M911</t>
  </si>
  <si>
    <t>M934</t>
  </si>
  <si>
    <t>M951</t>
  </si>
  <si>
    <t>M757</t>
  </si>
  <si>
    <t>M883/1</t>
  </si>
  <si>
    <t>M912</t>
  </si>
  <si>
    <t>M934/1</t>
  </si>
  <si>
    <t>M952</t>
  </si>
  <si>
    <t>M757/1</t>
  </si>
  <si>
    <t>M884</t>
  </si>
  <si>
    <t>M913</t>
  </si>
  <si>
    <t>M935</t>
  </si>
  <si>
    <t>M953</t>
  </si>
  <si>
    <t>M793</t>
  </si>
  <si>
    <t>M887</t>
  </si>
  <si>
    <t>M914</t>
  </si>
  <si>
    <t>M936</t>
  </si>
  <si>
    <t>M953/1</t>
  </si>
  <si>
    <t>M850</t>
  </si>
  <si>
    <t>M893</t>
  </si>
  <si>
    <t>M914/1</t>
  </si>
  <si>
    <t>M936/1</t>
  </si>
  <si>
    <t>M954</t>
  </si>
  <si>
    <t>M851</t>
  </si>
  <si>
    <t>M893/1</t>
  </si>
  <si>
    <t>M922</t>
  </si>
  <si>
    <t>M938</t>
  </si>
  <si>
    <t>M955</t>
  </si>
  <si>
    <t>M852</t>
  </si>
  <si>
    <t>M896</t>
  </si>
  <si>
    <t>M923</t>
  </si>
  <si>
    <t>M939</t>
  </si>
  <si>
    <t>M955/1</t>
  </si>
  <si>
    <t>M868</t>
  </si>
  <si>
    <t>M896/1</t>
  </si>
  <si>
    <t>M923/1</t>
  </si>
  <si>
    <t>M939/1</t>
  </si>
  <si>
    <t>M956</t>
  </si>
  <si>
    <t>M869</t>
  </si>
  <si>
    <t>M897</t>
  </si>
  <si>
    <t>M924</t>
  </si>
  <si>
    <t>M940</t>
  </si>
  <si>
    <t>M956/1</t>
  </si>
  <si>
    <t>M869/1</t>
  </si>
  <si>
    <t>M897/1</t>
  </si>
  <si>
    <t>M925</t>
  </si>
  <si>
    <t>M941</t>
  </si>
  <si>
    <t>M600</t>
  </si>
  <si>
    <t>M870</t>
  </si>
  <si>
    <t>M899</t>
  </si>
  <si>
    <t>M925/1</t>
  </si>
  <si>
    <t>M942</t>
  </si>
  <si>
    <t>M610</t>
  </si>
  <si>
    <t>M871</t>
  </si>
  <si>
    <t>M900</t>
  </si>
  <si>
    <t>M926</t>
  </si>
  <si>
    <t>M942/1</t>
  </si>
  <si>
    <t>M618</t>
  </si>
  <si>
    <t>M872</t>
  </si>
  <si>
    <t>M901</t>
  </si>
  <si>
    <t>M927</t>
  </si>
  <si>
    <t>M943</t>
  </si>
  <si>
    <t>M619</t>
  </si>
  <si>
    <t>M873</t>
  </si>
  <si>
    <t>M902</t>
  </si>
  <si>
    <t>M927/1</t>
  </si>
  <si>
    <t>M944</t>
  </si>
  <si>
    <t>M620</t>
  </si>
  <si>
    <t>M873/1</t>
  </si>
  <si>
    <t>M902/1</t>
  </si>
  <si>
    <t>M928</t>
  </si>
  <si>
    <t>M944/1</t>
  </si>
  <si>
    <t>M622</t>
  </si>
  <si>
    <t>M877</t>
  </si>
  <si>
    <t>M903</t>
  </si>
  <si>
    <t>M928/1</t>
  </si>
  <si>
    <t>M945</t>
  </si>
  <si>
    <t>M624</t>
  </si>
  <si>
    <t>M877/1</t>
  </si>
  <si>
    <t>M904</t>
  </si>
  <si>
    <t>M929</t>
  </si>
  <si>
    <t>M946</t>
  </si>
  <si>
    <t>M625</t>
  </si>
  <si>
    <t>M879</t>
  </si>
  <si>
    <t>M904/1</t>
  </si>
  <si>
    <t>M930</t>
  </si>
  <si>
    <t>M947</t>
  </si>
  <si>
    <t>M626</t>
  </si>
  <si>
    <t>M880</t>
  </si>
  <si>
    <t>M906</t>
  </si>
  <si>
    <t>M931</t>
  </si>
  <si>
    <t>M948</t>
  </si>
  <si>
    <t>M627</t>
  </si>
  <si>
    <t xml:space="preserve">TIENTO </t>
  </si>
  <si>
    <t>ANDRESSA</t>
  </si>
  <si>
    <t>A0041</t>
  </si>
  <si>
    <t>L5589</t>
  </si>
  <si>
    <t>L5701</t>
  </si>
  <si>
    <t>P079</t>
  </si>
  <si>
    <t>A0042</t>
  </si>
  <si>
    <t>L5607</t>
  </si>
  <si>
    <t>L5702</t>
  </si>
  <si>
    <t>P080</t>
  </si>
  <si>
    <t>A0046</t>
  </si>
  <si>
    <t>L5608</t>
  </si>
  <si>
    <t>L5704</t>
  </si>
  <si>
    <t>P083</t>
  </si>
  <si>
    <t>A0048</t>
  </si>
  <si>
    <t>L5627</t>
  </si>
  <si>
    <t>L5705</t>
  </si>
  <si>
    <t>914/A</t>
  </si>
  <si>
    <t>A0054</t>
  </si>
  <si>
    <t>L5651</t>
  </si>
  <si>
    <t>L5706</t>
  </si>
  <si>
    <t>914/E</t>
  </si>
  <si>
    <t>A0061</t>
  </si>
  <si>
    <t>L5655</t>
  </si>
  <si>
    <t>L5707</t>
  </si>
  <si>
    <t>A0064</t>
  </si>
  <si>
    <t>L5659</t>
  </si>
  <si>
    <t>L5709</t>
  </si>
  <si>
    <t>A0108</t>
  </si>
  <si>
    <t>L5666</t>
  </si>
  <si>
    <t>L5711</t>
  </si>
  <si>
    <t>A0110</t>
  </si>
  <si>
    <t>L5667</t>
  </si>
  <si>
    <t>L5713</t>
  </si>
  <si>
    <t>XY</t>
  </si>
  <si>
    <t>A0112</t>
  </si>
  <si>
    <t>L5668</t>
  </si>
  <si>
    <t>L5717</t>
  </si>
  <si>
    <t>A0115</t>
  </si>
  <si>
    <t>L5670</t>
  </si>
  <si>
    <t>L5718</t>
  </si>
  <si>
    <t>A0450</t>
  </si>
  <si>
    <t>L5671</t>
  </si>
  <si>
    <t>L5719</t>
  </si>
  <si>
    <t>A1205</t>
  </si>
  <si>
    <t>L5673</t>
  </si>
  <si>
    <t>L5722</t>
  </si>
  <si>
    <t>A1216</t>
  </si>
  <si>
    <t>L5683</t>
  </si>
  <si>
    <t>L5723</t>
  </si>
  <si>
    <t>A1217</t>
  </si>
  <si>
    <t>L5684</t>
  </si>
  <si>
    <t>L5724</t>
  </si>
  <si>
    <t>A1224</t>
  </si>
  <si>
    <t>L5685</t>
  </si>
  <si>
    <t>L5730</t>
  </si>
  <si>
    <t>A1242</t>
  </si>
  <si>
    <t>L5687</t>
  </si>
  <si>
    <t>L5732</t>
  </si>
  <si>
    <t>A1243</t>
  </si>
  <si>
    <t>L5688</t>
  </si>
  <si>
    <t>L5734</t>
  </si>
  <si>
    <t>A1244</t>
  </si>
  <si>
    <t>L5689</t>
  </si>
  <si>
    <t>L0310</t>
  </si>
  <si>
    <t>A1247</t>
  </si>
  <si>
    <t>L5690</t>
  </si>
  <si>
    <t>P033</t>
  </si>
  <si>
    <t>A1248</t>
  </si>
  <si>
    <t>L5691</t>
  </si>
  <si>
    <t>P034</t>
  </si>
  <si>
    <t>A1250</t>
  </si>
  <si>
    <t>L5695</t>
  </si>
  <si>
    <t>P038</t>
  </si>
  <si>
    <t>L5477</t>
  </si>
  <si>
    <t>L5697</t>
  </si>
  <si>
    <t>P072</t>
  </si>
  <si>
    <t>L5495</t>
  </si>
  <si>
    <t>L5700</t>
  </si>
  <si>
    <t>P075</t>
  </si>
  <si>
    <t xml:space="preserve">COA COA MEDIAS X DOC. </t>
  </si>
  <si>
    <t>BIANCA SECRETA Y FLORCITAS</t>
  </si>
  <si>
    <t>ONE FEET</t>
  </si>
  <si>
    <t>SHEDYL</t>
  </si>
  <si>
    <t>2000 T0</t>
  </si>
  <si>
    <t>2000 T1</t>
  </si>
  <si>
    <t>2000 T2</t>
  </si>
  <si>
    <t>2000 T3</t>
  </si>
  <si>
    <t>22216/E</t>
  </si>
  <si>
    <t xml:space="preserve">2000 T4 </t>
  </si>
  <si>
    <t>2000 T5</t>
  </si>
  <si>
    <t>22245/E</t>
  </si>
  <si>
    <t>2000 T6</t>
  </si>
  <si>
    <t>2000SU</t>
  </si>
  <si>
    <t>22247/E</t>
  </si>
  <si>
    <t>2500M</t>
  </si>
  <si>
    <t>2500 T1</t>
  </si>
  <si>
    <t>2500H</t>
  </si>
  <si>
    <t>2500 T2</t>
  </si>
  <si>
    <t>22248/E</t>
  </si>
  <si>
    <t>5001T2</t>
  </si>
  <si>
    <t>2500 T3</t>
  </si>
  <si>
    <t>22252/E</t>
  </si>
  <si>
    <t>5001T3</t>
  </si>
  <si>
    <t>2500 T4</t>
  </si>
  <si>
    <t>22260/E</t>
  </si>
  <si>
    <t>2500 T5</t>
  </si>
  <si>
    <t>2500 T6</t>
  </si>
  <si>
    <t>22309/E</t>
  </si>
  <si>
    <t>2500SU</t>
  </si>
  <si>
    <t>22201E</t>
  </si>
  <si>
    <t>LARA</t>
  </si>
  <si>
    <t>BELEN</t>
  </si>
  <si>
    <t>SIGRY</t>
  </si>
  <si>
    <t>BAKHOU</t>
  </si>
  <si>
    <t>$</t>
  </si>
  <si>
    <t>102B</t>
  </si>
  <si>
    <t>398E</t>
  </si>
  <si>
    <t>P035</t>
  </si>
  <si>
    <t>P003</t>
  </si>
  <si>
    <t>P071</t>
  </si>
  <si>
    <t>P068</t>
  </si>
  <si>
    <t>989E</t>
  </si>
  <si>
    <t>565/E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</si>
</sst>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\ #,##0;[Red]\-&quot;$&quot;\ #,##0"/>
    <numFmt numFmtId="165" formatCode="_ * #,##0.00_ ;_ * \-#,##0.00_ ;_ * \-??_ ;_ @_ "/>
    <numFmt numFmtId="166" formatCode="_ &quot;$ &quot;* #,##0.00_ ;_ &quot;$ &quot;* \-#,##0.00_ ;_ &quot;$ &quot;* \-??_ ;_ @_ "/>
    <numFmt numFmtId="167" formatCode="mmm\ dd"/>
    <numFmt numFmtId="168" formatCode="[$-200A]dd/mm/yy"/>
    <numFmt numFmtId="169" formatCode="_ &quot;$ &quot;* #,##0_ ;_ &quot;$ &quot;* \-#,##0_ ;_ &quot;$ &quot;* \-??_ ;_ @_ "/>
    <numFmt numFmtId="170" formatCode="[$$-2C0A]\ #,##0.00"/>
    <numFmt numFmtId="171" formatCode="&quot;$ &quot;#,##0.00;[Red]&quot;$ -&quot;#,##0.00"/>
  </numFmts>
  <fonts count="2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u/>
      <sz val="36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6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8"/>
      <color rgb="FF0563C1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16"/>
      <color rgb="FF0563C1"/>
      <name val="Arial"/>
      <family val="2"/>
      <charset val="1"/>
    </font>
    <font>
      <b/>
      <sz val="20"/>
      <name val="Arial"/>
      <family val="2"/>
      <charset val="1"/>
    </font>
    <font>
      <sz val="16"/>
      <name val="Arial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u/>
      <sz val="14"/>
      <name val="Arial"/>
      <family val="2"/>
      <charset val="1"/>
    </font>
    <font>
      <b/>
      <sz val="1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26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8"/>
      <name val="Arial"/>
      <family val="2"/>
      <charset val="1"/>
    </font>
    <font>
      <sz val="18"/>
      <color rgb="FF000000"/>
      <name val="Calibri"/>
      <family val="2"/>
      <charset val="1"/>
    </font>
    <font>
      <b/>
      <sz val="18"/>
      <color rgb="FF000000"/>
      <name val="Arial"/>
      <family val="2"/>
      <charset val="1"/>
    </font>
    <font>
      <sz val="16"/>
      <name val="Arial"/>
      <family val="2"/>
    </font>
    <font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Border="0" applyProtection="0"/>
    <xf numFmtId="165" fontId="20" fillId="0" borderId="0" applyBorder="0" applyProtection="0"/>
    <xf numFmtId="166" fontId="20" fillId="0" borderId="0" applyBorder="0" applyProtection="0"/>
    <xf numFmtId="0" fontId="1" fillId="0" borderId="0"/>
  </cellStyleXfs>
  <cellXfs count="163">
    <xf numFmtId="0" fontId="0" fillId="0" borderId="0" xfId="0"/>
    <xf numFmtId="0" fontId="9" fillId="0" borderId="0" xfId="1" applyFont="1" applyBorder="1" applyAlignment="1" applyProtection="1">
      <alignment vertical="center"/>
    </xf>
    <xf numFmtId="0" fontId="9" fillId="0" borderId="3" xfId="1" applyFont="1" applyBorder="1" applyAlignment="1" applyProtection="1">
      <alignment vertical="center"/>
    </xf>
    <xf numFmtId="0" fontId="5" fillId="2" borderId="8" xfId="0" applyFont="1" applyFill="1" applyBorder="1" applyAlignment="1">
      <alignment horizontal="center" vertical="center"/>
    </xf>
    <xf numFmtId="169" fontId="5" fillId="2" borderId="9" xfId="3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9" fontId="5" fillId="2" borderId="6" xfId="3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9" fontId="11" fillId="0" borderId="9" xfId="3" applyNumberFormat="1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/>
    </xf>
    <xf numFmtId="169" fontId="13" fillId="0" borderId="9" xfId="3" applyNumberFormat="1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169" fontId="13" fillId="0" borderId="6" xfId="3" applyNumberFormat="1" applyFont="1" applyBorder="1" applyAlignment="1" applyProtection="1">
      <alignment horizontal="center" vertical="center"/>
    </xf>
    <xf numFmtId="169" fontId="11" fillId="0" borderId="6" xfId="3" applyNumberFormat="1" applyFont="1" applyBorder="1" applyAlignment="1" applyProtection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69" fontId="13" fillId="0" borderId="6" xfId="3" applyNumberFormat="1" applyFont="1" applyBorder="1" applyAlignment="1" applyProtection="1">
      <alignment vertical="center"/>
    </xf>
    <xf numFmtId="169" fontId="13" fillId="0" borderId="6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169" fontId="12" fillId="2" borderId="6" xfId="3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9" fontId="12" fillId="2" borderId="9" xfId="3" applyNumberFormat="1" applyFont="1" applyFill="1" applyBorder="1" applyAlignment="1" applyProtection="1">
      <alignment horizontal="center" vertical="center"/>
    </xf>
    <xf numFmtId="169" fontId="11" fillId="0" borderId="11" xfId="3" applyNumberFormat="1" applyFont="1" applyBorder="1" applyAlignment="1" applyProtection="1">
      <alignment horizontal="center" vertical="center"/>
    </xf>
    <xf numFmtId="171" fontId="5" fillId="2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9" fontId="13" fillId="3" borderId="9" xfId="3" applyNumberFormat="1" applyFont="1" applyFill="1" applyBorder="1" applyAlignment="1" applyProtection="1">
      <alignment vertical="center"/>
    </xf>
    <xf numFmtId="169" fontId="13" fillId="0" borderId="9" xfId="3" applyNumberFormat="1" applyFont="1" applyBorder="1" applyAlignment="1" applyProtection="1">
      <alignment vertical="center"/>
    </xf>
    <xf numFmtId="0" fontId="1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169" fontId="11" fillId="3" borderId="6" xfId="3" applyNumberFormat="1" applyFont="1" applyFill="1" applyBorder="1" applyAlignment="1" applyProtection="1">
      <alignment horizontal="center" vertical="center"/>
    </xf>
    <xf numFmtId="169" fontId="11" fillId="3" borderId="9" xfId="3" applyNumberFormat="1" applyFont="1" applyFill="1" applyBorder="1" applyAlignment="1" applyProtection="1">
      <alignment horizontal="center" vertical="center"/>
    </xf>
    <xf numFmtId="0" fontId="16" fillId="0" borderId="9" xfId="0" applyFont="1" applyBorder="1" applyAlignment="1">
      <alignment horizontal="center" vertical="center"/>
    </xf>
    <xf numFmtId="169" fontId="17" fillId="0" borderId="6" xfId="3" applyNumberFormat="1" applyFont="1" applyBorder="1" applyAlignment="1" applyProtection="1">
      <alignment horizontal="center" vertical="center"/>
    </xf>
    <xf numFmtId="169" fontId="5" fillId="0" borderId="6" xfId="0" applyNumberFormat="1" applyFont="1" applyBorder="1" applyAlignment="1">
      <alignment vertical="center"/>
    </xf>
    <xf numFmtId="169" fontId="5" fillId="2" borderId="11" xfId="3" applyNumberFormat="1" applyFont="1" applyFill="1" applyBorder="1" applyAlignment="1" applyProtection="1">
      <alignment horizontal="center" vertical="center"/>
    </xf>
    <xf numFmtId="169" fontId="11" fillId="3" borderId="11" xfId="3" applyNumberFormat="1" applyFont="1" applyFill="1" applyBorder="1" applyAlignment="1" applyProtection="1">
      <alignment horizontal="center" vertical="center"/>
    </xf>
    <xf numFmtId="169" fontId="13" fillId="0" borderId="11" xfId="3" applyNumberFormat="1" applyFont="1" applyBorder="1" applyAlignment="1" applyProtection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69" fontId="13" fillId="0" borderId="13" xfId="3" applyNumberFormat="1" applyFont="1" applyBorder="1" applyAlignment="1" applyProtection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169" fontId="11" fillId="0" borderId="16" xfId="3" applyNumberFormat="1" applyFont="1" applyBorder="1" applyAlignment="1" applyProtection="1">
      <alignment horizontal="center" vertical="center"/>
    </xf>
    <xf numFmtId="169" fontId="11" fillId="3" borderId="14" xfId="3" applyNumberFormat="1" applyFont="1" applyFill="1" applyBorder="1" applyAlignment="1" applyProtection="1">
      <alignment horizontal="center" vertical="center"/>
    </xf>
    <xf numFmtId="0" fontId="12" fillId="0" borderId="14" xfId="0" applyFont="1" applyBorder="1" applyAlignment="1">
      <alignment horizontal="center" vertical="center"/>
    </xf>
    <xf numFmtId="169" fontId="13" fillId="2" borderId="13" xfId="3" applyNumberFormat="1" applyFont="1" applyFill="1" applyBorder="1" applyAlignment="1" applyProtection="1">
      <alignment vertical="center"/>
    </xf>
    <xf numFmtId="0" fontId="5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9" fontId="11" fillId="0" borderId="21" xfId="3" applyNumberFormat="1" applyFont="1" applyBorder="1" applyAlignment="1" applyProtection="1">
      <alignment horizontal="center" vertical="center"/>
    </xf>
    <xf numFmtId="169" fontId="13" fillId="0" borderId="21" xfId="3" applyNumberFormat="1" applyFont="1" applyBorder="1" applyAlignment="1" applyProtection="1">
      <alignment horizontal="center" vertical="center"/>
    </xf>
    <xf numFmtId="0" fontId="12" fillId="0" borderId="21" xfId="0" applyFont="1" applyBorder="1" applyAlignment="1">
      <alignment vertical="center"/>
    </xf>
    <xf numFmtId="169" fontId="13" fillId="0" borderId="22" xfId="3" applyNumberFormat="1" applyFont="1" applyBorder="1" applyAlignment="1" applyProtection="1">
      <alignment vertical="center"/>
    </xf>
    <xf numFmtId="0" fontId="5" fillId="0" borderId="9" xfId="0" applyFont="1" applyFill="1" applyBorder="1" applyAlignment="1">
      <alignment horizontal="center" vertical="center"/>
    </xf>
    <xf numFmtId="169" fontId="13" fillId="0" borderId="9" xfId="3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9" fontId="11" fillId="0" borderId="9" xfId="3" applyNumberFormat="1" applyFont="1" applyFill="1" applyBorder="1" applyAlignment="1" applyProtection="1">
      <alignment horizontal="center" vertical="center"/>
    </xf>
    <xf numFmtId="169" fontId="13" fillId="0" borderId="11" xfId="3" applyNumberFormat="1" applyFont="1" applyBorder="1" applyAlignment="1" applyProtection="1">
      <alignment vertical="center"/>
    </xf>
    <xf numFmtId="169" fontId="11" fillId="0" borderId="22" xfId="3" applyNumberFormat="1" applyFont="1" applyBorder="1" applyAlignment="1" applyProtection="1">
      <alignment horizontal="center" vertical="center"/>
    </xf>
    <xf numFmtId="0" fontId="12" fillId="0" borderId="23" xfId="0" applyFont="1" applyBorder="1" applyAlignment="1">
      <alignment horizontal="center" vertical="center"/>
    </xf>
    <xf numFmtId="169" fontId="11" fillId="0" borderId="14" xfId="3" applyNumberFormat="1" applyFont="1" applyBorder="1" applyAlignment="1" applyProtection="1">
      <alignment horizontal="center" vertical="center"/>
    </xf>
    <xf numFmtId="0" fontId="5" fillId="0" borderId="23" xfId="0" applyFont="1" applyBorder="1" applyAlignment="1">
      <alignment horizontal="center" vertical="center"/>
    </xf>
    <xf numFmtId="169" fontId="11" fillId="0" borderId="13" xfId="3" applyNumberFormat="1" applyFont="1" applyBorder="1" applyAlignment="1" applyProtection="1">
      <alignment horizontal="center" vertical="center"/>
    </xf>
    <xf numFmtId="169" fontId="13" fillId="0" borderId="16" xfId="3" applyNumberFormat="1" applyFont="1" applyBorder="1" applyAlignment="1" applyProtection="1">
      <alignment horizontal="center" vertical="center"/>
    </xf>
    <xf numFmtId="0" fontId="0" fillId="0" borderId="9" xfId="0" applyBorder="1"/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9" fontId="11" fillId="0" borderId="25" xfId="3" applyNumberFormat="1" applyFont="1" applyBorder="1" applyAlignment="1" applyProtection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169" fontId="11" fillId="3" borderId="25" xfId="3" applyNumberFormat="1" applyFont="1" applyFill="1" applyBorder="1" applyAlignment="1" applyProtection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25" xfId="0" applyBorder="1"/>
    <xf numFmtId="0" fontId="0" fillId="0" borderId="0" xfId="0" applyBorder="1"/>
    <xf numFmtId="0" fontId="12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9" fontId="13" fillId="0" borderId="14" xfId="3" applyNumberFormat="1" applyFont="1" applyBorder="1" applyAlignment="1" applyProtection="1">
      <alignment horizontal="center" vertical="center"/>
    </xf>
    <xf numFmtId="0" fontId="5" fillId="0" borderId="26" xfId="0" applyFont="1" applyBorder="1" applyAlignment="1">
      <alignment horizontal="center" vertical="center"/>
    </xf>
    <xf numFmtId="169" fontId="11" fillId="0" borderId="26" xfId="3" applyNumberFormat="1" applyFont="1" applyBorder="1" applyAlignment="1" applyProtection="1">
      <alignment horizontal="center" vertical="center"/>
    </xf>
    <xf numFmtId="0" fontId="12" fillId="0" borderId="26" xfId="0" applyFont="1" applyBorder="1" applyAlignment="1">
      <alignment vertical="center"/>
    </xf>
    <xf numFmtId="169" fontId="13" fillId="0" borderId="26" xfId="3" applyNumberFormat="1" applyFont="1" applyBorder="1" applyAlignment="1" applyProtection="1">
      <alignment vertical="center"/>
    </xf>
    <xf numFmtId="169" fontId="13" fillId="0" borderId="26" xfId="3" applyNumberFormat="1" applyFont="1" applyBorder="1" applyAlignment="1" applyProtection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0" fillId="0" borderId="26" xfId="0" applyBorder="1"/>
    <xf numFmtId="0" fontId="0" fillId="0" borderId="29" xfId="0" applyBorder="1"/>
    <xf numFmtId="0" fontId="5" fillId="0" borderId="30" xfId="0" applyFont="1" applyBorder="1" applyAlignment="1">
      <alignment horizontal="center" vertical="center"/>
    </xf>
    <xf numFmtId="169" fontId="11" fillId="0" borderId="30" xfId="3" applyNumberFormat="1" applyFont="1" applyBorder="1" applyAlignment="1" applyProtection="1">
      <alignment horizontal="center" vertical="center"/>
    </xf>
    <xf numFmtId="0" fontId="12" fillId="0" borderId="30" xfId="0" applyFont="1" applyBorder="1" applyAlignment="1">
      <alignment vertical="center"/>
    </xf>
    <xf numFmtId="169" fontId="13" fillId="0" borderId="30" xfId="3" applyNumberFormat="1" applyFont="1" applyBorder="1" applyAlignment="1" applyProtection="1">
      <alignment horizontal="center" vertical="center"/>
    </xf>
    <xf numFmtId="0" fontId="12" fillId="0" borderId="30" xfId="0" applyFont="1" applyBorder="1" applyAlignment="1">
      <alignment horizontal="center" vertical="center"/>
    </xf>
    <xf numFmtId="169" fontId="13" fillId="0" borderId="31" xfId="3" applyNumberFormat="1" applyFont="1" applyBorder="1" applyAlignment="1" applyProtection="1">
      <alignment vertical="center"/>
    </xf>
    <xf numFmtId="0" fontId="12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9" fontId="13" fillId="0" borderId="33" xfId="3" applyNumberFormat="1" applyFont="1" applyBorder="1" applyAlignment="1" applyProtection="1">
      <alignment vertical="center"/>
    </xf>
    <xf numFmtId="169" fontId="13" fillId="0" borderId="35" xfId="3" applyNumberFormat="1" applyFont="1" applyBorder="1" applyAlignment="1" applyProtection="1">
      <alignment horizontal="center" vertical="center"/>
    </xf>
    <xf numFmtId="169" fontId="13" fillId="0" borderId="32" xfId="3" applyNumberFormat="1" applyFont="1" applyBorder="1" applyAlignment="1" applyProtection="1">
      <alignment vertical="center"/>
    </xf>
    <xf numFmtId="169" fontId="13" fillId="0" borderId="36" xfId="3" applyNumberFormat="1" applyFont="1" applyBorder="1" applyAlignment="1" applyProtection="1">
      <alignment vertical="center"/>
    </xf>
    <xf numFmtId="169" fontId="13" fillId="0" borderId="30" xfId="3" applyNumberFormat="1" applyFont="1" applyBorder="1" applyAlignment="1" applyProtection="1">
      <alignment vertical="center"/>
    </xf>
    <xf numFmtId="169" fontId="13" fillId="0" borderId="13" xfId="3" applyNumberFormat="1" applyFont="1" applyBorder="1" applyAlignment="1" applyProtection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169" fontId="11" fillId="0" borderId="16" xfId="3" applyNumberFormat="1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9" fontId="11" fillId="0" borderId="6" xfId="3" applyNumberFormat="1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69" fontId="11" fillId="0" borderId="14" xfId="3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9" fontId="11" fillId="0" borderId="13" xfId="3" applyNumberFormat="1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69" fontId="24" fillId="0" borderId="6" xfId="3" applyNumberFormat="1" applyFont="1" applyBorder="1" applyAlignment="1" applyProtection="1">
      <alignment vertical="center"/>
    </xf>
    <xf numFmtId="169" fontId="25" fillId="0" borderId="6" xfId="3" applyNumberFormat="1" applyFont="1" applyBorder="1" applyAlignment="1" applyProtection="1">
      <alignment vertical="center"/>
    </xf>
    <xf numFmtId="164" fontId="25" fillId="0" borderId="7" xfId="0" applyNumberFormat="1" applyFont="1" applyBorder="1" applyAlignment="1"/>
    <xf numFmtId="164" fontId="25" fillId="0" borderId="3" xfId="0" applyNumberFormat="1" applyFont="1" applyBorder="1" applyAlignment="1"/>
    <xf numFmtId="164" fontId="25" fillId="0" borderId="6" xfId="0" applyNumberFormat="1" applyFont="1" applyBorder="1" applyAlignment="1"/>
    <xf numFmtId="164" fontId="25" fillId="0" borderId="12" xfId="0" applyNumberFormat="1" applyFont="1" applyBorder="1" applyAlignment="1"/>
    <xf numFmtId="169" fontId="24" fillId="0" borderId="7" xfId="3" applyNumberFormat="1" applyFont="1" applyBorder="1" applyAlignment="1" applyProtection="1">
      <alignment vertical="center"/>
    </xf>
    <xf numFmtId="169" fontId="25" fillId="0" borderId="7" xfId="3" applyNumberFormat="1" applyFont="1" applyBorder="1" applyAlignment="1" applyProtection="1">
      <alignment vertical="center"/>
    </xf>
    <xf numFmtId="169" fontId="24" fillId="0" borderId="13" xfId="3" applyNumberFormat="1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8" fontId="5" fillId="0" borderId="3" xfId="3" applyNumberFormat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170" fontId="10" fillId="2" borderId="27" xfId="0" applyNumberFormat="1" applyFont="1" applyFill="1" applyBorder="1" applyAlignment="1">
      <alignment horizontal="center" vertical="center"/>
    </xf>
    <xf numFmtId="170" fontId="10" fillId="2" borderId="28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169" fontId="5" fillId="2" borderId="21" xfId="3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9" fontId="5" fillId="2" borderId="22" xfId="3" applyNumberFormat="1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</cellXfs>
  <cellStyles count="5">
    <cellStyle name="Hipervínculo" xfId="1" builtinId="8"/>
    <cellStyle name="Millares 2" xfId="2" xr:uid="{00000000-0005-0000-0000-000006000000}"/>
    <cellStyle name="Moneda 2" xfId="3" xr:uid="{00000000-0005-0000-0000-000007000000}"/>
    <cellStyle name="Normal" xfId="0" builtinId="0"/>
    <cellStyle name="Normal 2" xfId="4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ncachi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54"/>
  <sheetViews>
    <sheetView tabSelected="1" view="pageBreakPreview" topLeftCell="A193" zoomScale="64" zoomScaleNormal="55" zoomScaleSheetLayoutView="64" zoomScalePageLayoutView="46" workbookViewId="0">
      <selection activeCell="M207" sqref="M207"/>
    </sheetView>
  </sheetViews>
  <sheetFormatPr baseColWidth="10" defaultColWidth="9.140625" defaultRowHeight="15" x14ac:dyDescent="0.25"/>
  <cols>
    <col min="1" max="4" width="16.5703125" customWidth="1"/>
    <col min="5" max="5" width="21" customWidth="1"/>
    <col min="6" max="14" width="16.5703125" customWidth="1"/>
    <col min="15" max="1020" width="11.42578125"/>
    <col min="1021" max="1025" width="11.5703125"/>
  </cols>
  <sheetData>
    <row r="1" spans="1:14" ht="45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23.45" customHeight="1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7" t="s">
        <v>2</v>
      </c>
      <c r="M2" s="137"/>
      <c r="N2" s="138">
        <v>44888</v>
      </c>
    </row>
    <row r="3" spans="1:14" ht="23.45" customHeight="1" x14ac:dyDescent="0.25">
      <c r="A3" s="139" t="s">
        <v>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7"/>
      <c r="M3" s="137"/>
      <c r="N3" s="138"/>
    </row>
    <row r="4" spans="1:14" ht="25.5" customHeight="1" x14ac:dyDescent="0.25">
      <c r="A4" s="140" t="s">
        <v>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"/>
      <c r="M4" s="1"/>
      <c r="N4" s="2"/>
    </row>
    <row r="5" spans="1:14" ht="26.25" x14ac:dyDescent="0.25">
      <c r="A5" s="141" t="s">
        <v>5</v>
      </c>
      <c r="B5" s="141"/>
      <c r="C5" s="141"/>
      <c r="D5" s="141"/>
      <c r="E5" s="141"/>
      <c r="F5" s="141"/>
      <c r="G5" s="142" t="s">
        <v>6</v>
      </c>
      <c r="H5" s="142"/>
      <c r="I5" s="142"/>
      <c r="J5" s="142"/>
      <c r="K5" s="142" t="s">
        <v>7</v>
      </c>
      <c r="L5" s="142"/>
      <c r="M5" s="143" t="s">
        <v>8</v>
      </c>
      <c r="N5" s="143"/>
    </row>
    <row r="6" spans="1:14" ht="21" thickBot="1" x14ac:dyDescent="0.3">
      <c r="A6" s="3" t="s">
        <v>9</v>
      </c>
      <c r="B6" s="4" t="s">
        <v>10</v>
      </c>
      <c r="C6" s="5" t="s">
        <v>9</v>
      </c>
      <c r="D6" s="4" t="s">
        <v>10</v>
      </c>
      <c r="E6" s="5" t="s">
        <v>9</v>
      </c>
      <c r="F6" s="6" t="s">
        <v>10</v>
      </c>
      <c r="G6" s="5" t="s">
        <v>9</v>
      </c>
      <c r="H6" s="4" t="s">
        <v>10</v>
      </c>
      <c r="I6" s="5" t="s">
        <v>9</v>
      </c>
      <c r="J6" s="6" t="s">
        <v>10</v>
      </c>
      <c r="K6" s="5" t="s">
        <v>9</v>
      </c>
      <c r="L6" s="6" t="s">
        <v>10</v>
      </c>
      <c r="M6" s="7" t="s">
        <v>9</v>
      </c>
      <c r="N6" s="6" t="s">
        <v>10</v>
      </c>
    </row>
    <row r="7" spans="1:14" ht="24" thickBot="1" x14ac:dyDescent="0.3">
      <c r="A7" s="8">
        <v>5084</v>
      </c>
      <c r="B7" s="9">
        <f>1157.16*1.39</f>
        <v>1608.4523999999999</v>
      </c>
      <c r="C7" s="12">
        <v>11137</v>
      </c>
      <c r="D7" s="9">
        <v>1221</v>
      </c>
      <c r="E7" s="119">
        <v>5665</v>
      </c>
      <c r="F7" s="127">
        <v>2038</v>
      </c>
      <c r="G7" s="17">
        <v>210</v>
      </c>
      <c r="H7" s="9">
        <v>560.07060000000001</v>
      </c>
      <c r="I7" s="12">
        <v>1702</v>
      </c>
      <c r="J7" s="13">
        <f>965*1.32</f>
        <v>1273.8</v>
      </c>
      <c r="K7" s="12">
        <v>960</v>
      </c>
      <c r="L7" s="14">
        <f>988.7*1.26</f>
        <v>1245.7620000000002</v>
      </c>
      <c r="M7" s="15" t="s">
        <v>11</v>
      </c>
      <c r="N7" s="14">
        <f>3279*1.16</f>
        <v>3803.64</v>
      </c>
    </row>
    <row r="8" spans="1:14" ht="24" thickBot="1" x14ac:dyDescent="0.4">
      <c r="A8" s="8">
        <v>5116</v>
      </c>
      <c r="B8" s="9">
        <f>1381.99*1.39</f>
        <v>1920.9660999999999</v>
      </c>
      <c r="C8" s="12">
        <v>11138</v>
      </c>
      <c r="D8" s="9">
        <v>1294</v>
      </c>
      <c r="E8" s="120">
        <v>5666</v>
      </c>
      <c r="F8" s="128">
        <v>2748</v>
      </c>
      <c r="G8" s="17">
        <v>442</v>
      </c>
      <c r="H8" s="9">
        <f>1680*1.32</f>
        <v>2217.6</v>
      </c>
      <c r="I8" s="10">
        <v>1706</v>
      </c>
      <c r="J8" s="13">
        <f>1498*1.32</f>
        <v>1977.3600000000001</v>
      </c>
      <c r="K8" s="12">
        <v>980</v>
      </c>
      <c r="L8" s="14">
        <v>1040.1585150000001</v>
      </c>
      <c r="M8" s="15" t="s">
        <v>12</v>
      </c>
      <c r="N8" s="14">
        <f>3612*1.16</f>
        <v>4189.92</v>
      </c>
    </row>
    <row r="9" spans="1:14" ht="24" thickBot="1" x14ac:dyDescent="0.4">
      <c r="A9" s="8">
        <v>5160</v>
      </c>
      <c r="B9" s="9">
        <f>1120.52*1.39</f>
        <v>1557.5228</v>
      </c>
      <c r="C9" s="60">
        <v>11230</v>
      </c>
      <c r="D9" s="61">
        <v>769</v>
      </c>
      <c r="E9" s="121">
        <v>5667</v>
      </c>
      <c r="F9" s="129">
        <v>2498</v>
      </c>
      <c r="G9" s="17">
        <v>443</v>
      </c>
      <c r="H9" s="9">
        <f>1730*1.32</f>
        <v>2283.6</v>
      </c>
      <c r="I9" s="12">
        <v>2130</v>
      </c>
      <c r="J9" s="14">
        <f>1790*1.32</f>
        <v>2362.8000000000002</v>
      </c>
      <c r="K9" s="12">
        <v>990</v>
      </c>
      <c r="L9" s="14">
        <f>907.6*1.26</f>
        <v>1143.576</v>
      </c>
      <c r="M9" s="15">
        <v>101</v>
      </c>
      <c r="N9" s="14">
        <f>3279*1.16</f>
        <v>3803.64</v>
      </c>
    </row>
    <row r="10" spans="1:14" ht="24" thickBot="1" x14ac:dyDescent="0.4">
      <c r="A10" s="8">
        <v>5223</v>
      </c>
      <c r="B10" s="9">
        <f>1065.91*1.39</f>
        <v>1481.6149</v>
      </c>
      <c r="C10" s="62">
        <v>11231</v>
      </c>
      <c r="D10" s="61">
        <v>975</v>
      </c>
      <c r="E10" s="120">
        <v>5668</v>
      </c>
      <c r="F10" s="130">
        <v>2191</v>
      </c>
      <c r="G10" s="17">
        <v>540</v>
      </c>
      <c r="H10" s="9">
        <v>593.31679999999994</v>
      </c>
      <c r="I10" s="12">
        <v>2140</v>
      </c>
      <c r="J10" s="14">
        <f>1790*1.32</f>
        <v>2362.8000000000002</v>
      </c>
      <c r="K10" s="12">
        <v>1250</v>
      </c>
      <c r="L10" s="14">
        <f>1146.4*1.26</f>
        <v>1444.4640000000002</v>
      </c>
      <c r="M10" s="15" t="s">
        <v>13</v>
      </c>
      <c r="N10" s="14">
        <f>3432*1.16</f>
        <v>3981.12</v>
      </c>
    </row>
    <row r="11" spans="1:14" ht="24" thickBot="1" x14ac:dyDescent="0.4">
      <c r="A11" s="8">
        <v>5275</v>
      </c>
      <c r="B11" s="9">
        <f>1122.74*1.39</f>
        <v>1560.6085999999998</v>
      </c>
      <c r="C11" s="60">
        <v>11233</v>
      </c>
      <c r="D11" s="63">
        <v>1020</v>
      </c>
      <c r="E11" s="120">
        <v>5669</v>
      </c>
      <c r="F11" s="131">
        <v>2482</v>
      </c>
      <c r="G11" s="8">
        <v>546</v>
      </c>
      <c r="H11" s="9">
        <f>572*1.32</f>
        <v>755.04000000000008</v>
      </c>
      <c r="I11" s="12">
        <v>2144</v>
      </c>
      <c r="J11" s="14">
        <v>2773.5003000000002</v>
      </c>
      <c r="K11" s="12">
        <v>1290</v>
      </c>
      <c r="L11" s="14">
        <v>1554.4516550000001</v>
      </c>
      <c r="M11" s="15" t="s">
        <v>14</v>
      </c>
      <c r="N11" s="14">
        <f>3115*1.16</f>
        <v>3613.3999999999996</v>
      </c>
    </row>
    <row r="12" spans="1:14" ht="24" thickBot="1" x14ac:dyDescent="0.3">
      <c r="A12" s="8">
        <v>5294</v>
      </c>
      <c r="B12" s="9">
        <f>1429.06*1.39</f>
        <v>1986.3933999999997</v>
      </c>
      <c r="C12" s="60">
        <v>11239</v>
      </c>
      <c r="D12" s="63">
        <v>1379</v>
      </c>
      <c r="E12" s="119">
        <v>5671</v>
      </c>
      <c r="F12" s="132">
        <v>1743</v>
      </c>
      <c r="G12" s="17">
        <v>556</v>
      </c>
      <c r="H12" s="9">
        <v>809.4171</v>
      </c>
      <c r="I12" s="12">
        <v>2146</v>
      </c>
      <c r="J12" s="13">
        <f>1732*1.32</f>
        <v>2286.2400000000002</v>
      </c>
      <c r="K12" s="12">
        <v>1300</v>
      </c>
      <c r="L12" s="14">
        <f>1169.1*1.26</f>
        <v>1473.0659999999998</v>
      </c>
      <c r="M12" s="15">
        <v>1041</v>
      </c>
      <c r="N12" s="14">
        <f>2480*1.16</f>
        <v>2876.7999999999997</v>
      </c>
    </row>
    <row r="13" spans="1:14" ht="24" thickBot="1" x14ac:dyDescent="0.3">
      <c r="A13" s="8">
        <v>5295</v>
      </c>
      <c r="B13" s="9">
        <f>1516.82*1.39</f>
        <v>2108.3797999999997</v>
      </c>
      <c r="C13" s="60">
        <v>1142</v>
      </c>
      <c r="D13" s="63">
        <v>1129</v>
      </c>
      <c r="E13" s="119">
        <v>5672</v>
      </c>
      <c r="F13" s="132">
        <v>2740</v>
      </c>
      <c r="G13" s="17">
        <v>565</v>
      </c>
      <c r="H13" s="9">
        <f>782*1.32</f>
        <v>1032.24</v>
      </c>
      <c r="I13" s="12">
        <v>2200</v>
      </c>
      <c r="J13" s="14">
        <f>1470*1.32</f>
        <v>1940.4</v>
      </c>
      <c r="K13" s="12">
        <v>1900</v>
      </c>
      <c r="L13" s="14">
        <f>1340.4*1.26</f>
        <v>1688.9040000000002</v>
      </c>
      <c r="M13" s="15">
        <v>1042</v>
      </c>
      <c r="N13" s="14">
        <f>2691*1.16</f>
        <v>3121.56</v>
      </c>
    </row>
    <row r="14" spans="1:14" ht="24" thickBot="1" x14ac:dyDescent="0.4">
      <c r="A14" s="8">
        <v>5322</v>
      </c>
      <c r="B14" s="9">
        <f>1405.89*1.39</f>
        <v>1954.1871000000001</v>
      </c>
      <c r="C14" s="60">
        <v>1153</v>
      </c>
      <c r="D14" s="61">
        <v>1129</v>
      </c>
      <c r="E14" s="121">
        <v>5673</v>
      </c>
      <c r="F14" s="129">
        <v>2163</v>
      </c>
      <c r="G14" s="17">
        <v>568</v>
      </c>
      <c r="H14" s="9">
        <f>782*1.32</f>
        <v>1032.24</v>
      </c>
      <c r="I14" s="12">
        <v>2202</v>
      </c>
      <c r="J14" s="14">
        <f>1690*1.32</f>
        <v>2230.8000000000002</v>
      </c>
      <c r="K14" s="12">
        <v>2040</v>
      </c>
      <c r="L14" s="14">
        <f>1400.8*1.26</f>
        <v>1765.008</v>
      </c>
      <c r="M14" s="15">
        <v>1043</v>
      </c>
      <c r="N14" s="14">
        <f>2691*1.16</f>
        <v>3121.56</v>
      </c>
    </row>
    <row r="15" spans="1:14" ht="24" thickBot="1" x14ac:dyDescent="0.3">
      <c r="A15" s="8">
        <v>5323</v>
      </c>
      <c r="B15" s="9">
        <f>1464.51*1.39</f>
        <v>2035.6688999999999</v>
      </c>
      <c r="C15" s="60">
        <v>12137</v>
      </c>
      <c r="D15" s="61">
        <v>1120</v>
      </c>
      <c r="E15" s="122">
        <v>5674</v>
      </c>
      <c r="F15" s="133">
        <v>2094</v>
      </c>
      <c r="G15" s="17">
        <v>570</v>
      </c>
      <c r="H15" s="9">
        <f>1415*1.32</f>
        <v>1867.8000000000002</v>
      </c>
      <c r="I15" s="12">
        <v>2203</v>
      </c>
      <c r="J15" s="14">
        <f>1590*1.32</f>
        <v>2098.8000000000002</v>
      </c>
      <c r="K15" s="12">
        <v>2110</v>
      </c>
      <c r="L15" s="14">
        <v>1892</v>
      </c>
      <c r="M15" s="15">
        <v>1054</v>
      </c>
      <c r="N15" s="14">
        <f>3030*1.16</f>
        <v>3514.7999999999997</v>
      </c>
    </row>
    <row r="16" spans="1:14" ht="24" thickBot="1" x14ac:dyDescent="0.4">
      <c r="A16" s="8">
        <v>5324</v>
      </c>
      <c r="B16" s="9">
        <f>1468.51*1.39</f>
        <v>2041.2288999999998</v>
      </c>
      <c r="C16" s="60">
        <v>12138</v>
      </c>
      <c r="D16" s="61">
        <v>1243</v>
      </c>
      <c r="E16" s="121">
        <v>5675</v>
      </c>
      <c r="F16" s="129">
        <v>2582</v>
      </c>
      <c r="G16" s="17">
        <v>575</v>
      </c>
      <c r="H16" s="9">
        <f>1690*1.32</f>
        <v>2230.8000000000002</v>
      </c>
      <c r="I16" s="12">
        <v>2204</v>
      </c>
      <c r="J16" s="14">
        <f>1470*1.32</f>
        <v>1940.4</v>
      </c>
      <c r="K16" s="12">
        <v>2115</v>
      </c>
      <c r="L16" s="14">
        <v>1645.8787050000001</v>
      </c>
      <c r="M16" s="15">
        <v>1055</v>
      </c>
      <c r="N16" s="14">
        <v>3515</v>
      </c>
    </row>
    <row r="17" spans="1:14" ht="24" thickBot="1" x14ac:dyDescent="0.3">
      <c r="A17" s="8">
        <v>5328</v>
      </c>
      <c r="B17" s="9">
        <f>1086.57*1.39</f>
        <v>1510.3322999999998</v>
      </c>
      <c r="C17" s="60">
        <v>12230</v>
      </c>
      <c r="D17" s="63">
        <v>729</v>
      </c>
      <c r="E17" s="119">
        <v>5676</v>
      </c>
      <c r="F17" s="132">
        <v>1877</v>
      </c>
      <c r="G17" s="17">
        <v>578</v>
      </c>
      <c r="H17" s="9">
        <f>1690*1.32</f>
        <v>2230.8000000000002</v>
      </c>
      <c r="I17" s="12">
        <v>2236</v>
      </c>
      <c r="J17" s="14">
        <f>1350*1.32</f>
        <v>1782</v>
      </c>
      <c r="K17" s="12">
        <v>2160</v>
      </c>
      <c r="L17" s="14">
        <v>1600</v>
      </c>
      <c r="M17" s="15" t="s">
        <v>15</v>
      </c>
      <c r="N17" s="14">
        <f>2991*1.16</f>
        <v>3469.56</v>
      </c>
    </row>
    <row r="18" spans="1:14" ht="24" thickBot="1" x14ac:dyDescent="0.3">
      <c r="A18" s="52">
        <v>5484</v>
      </c>
      <c r="B18" s="11">
        <f>1169.87*1.39</f>
        <v>1626.1192999999998</v>
      </c>
      <c r="C18" s="62">
        <v>12231</v>
      </c>
      <c r="D18" s="63">
        <v>935</v>
      </c>
      <c r="E18" s="119">
        <v>5678</v>
      </c>
      <c r="F18" s="126">
        <v>2340</v>
      </c>
      <c r="G18" s="17">
        <v>581</v>
      </c>
      <c r="H18" s="9">
        <f>781*1.32</f>
        <v>1030.92</v>
      </c>
      <c r="I18" s="12">
        <v>2287</v>
      </c>
      <c r="J18" s="14">
        <f>1350*1.32</f>
        <v>1782</v>
      </c>
      <c r="K18" s="12">
        <v>2165</v>
      </c>
      <c r="L18" s="14">
        <v>1440.263745</v>
      </c>
      <c r="M18" s="15" t="s">
        <v>16</v>
      </c>
      <c r="N18" s="14">
        <v>3470</v>
      </c>
    </row>
    <row r="19" spans="1:14" ht="24" thickBot="1" x14ac:dyDescent="0.4">
      <c r="A19" s="51">
        <v>5536</v>
      </c>
      <c r="B19" s="9">
        <f>1918.76*1.39</f>
        <v>2667.0763999999999</v>
      </c>
      <c r="C19" s="60">
        <v>12233</v>
      </c>
      <c r="D19" s="61">
        <v>985</v>
      </c>
      <c r="E19" s="120">
        <v>5679</v>
      </c>
      <c r="F19" s="130">
        <v>2455</v>
      </c>
      <c r="G19" s="17">
        <v>582</v>
      </c>
      <c r="H19" s="9">
        <v>845.22069999999997</v>
      </c>
      <c r="I19" s="12">
        <v>2300</v>
      </c>
      <c r="J19" s="14">
        <f>1730*1.32</f>
        <v>2283.6</v>
      </c>
      <c r="K19" s="12">
        <v>2210</v>
      </c>
      <c r="L19" s="14">
        <f>1611.3*1.3261</f>
        <v>2136.7449299999998</v>
      </c>
      <c r="M19" s="15">
        <v>515</v>
      </c>
      <c r="N19" s="13">
        <f>3279*1.16</f>
        <v>3803.64</v>
      </c>
    </row>
    <row r="20" spans="1:14" ht="24" thickBot="1" x14ac:dyDescent="0.4">
      <c r="A20" s="51">
        <v>5568</v>
      </c>
      <c r="B20" s="9">
        <f>1313.72*1.39</f>
        <v>1826.0708</v>
      </c>
      <c r="C20" s="60">
        <v>12239</v>
      </c>
      <c r="D20" s="61">
        <v>1275</v>
      </c>
      <c r="E20" s="120">
        <v>5680</v>
      </c>
      <c r="F20" s="130">
        <v>2329</v>
      </c>
      <c r="G20" s="17">
        <v>583</v>
      </c>
      <c r="H20" s="9">
        <f>1102*1.32</f>
        <v>1454.64</v>
      </c>
      <c r="I20" s="12" t="s">
        <v>17</v>
      </c>
      <c r="J20" s="14">
        <f>1410*1.32</f>
        <v>1861.2</v>
      </c>
      <c r="K20" s="12">
        <v>2220</v>
      </c>
      <c r="L20" s="14">
        <f>1468.2*1.3261</f>
        <v>1946.9800200000002</v>
      </c>
      <c r="M20" s="15">
        <v>556</v>
      </c>
      <c r="N20" s="13">
        <f>648.42*1.16</f>
        <v>752.16719999999987</v>
      </c>
    </row>
    <row r="21" spans="1:14" ht="24" thickBot="1" x14ac:dyDescent="0.4">
      <c r="A21" s="51">
        <v>5569</v>
      </c>
      <c r="B21" s="9">
        <f>1301.01*1.39</f>
        <v>1808.4038999999998</v>
      </c>
      <c r="C21" s="12">
        <v>1242</v>
      </c>
      <c r="D21" s="9">
        <v>1166</v>
      </c>
      <c r="E21" s="120">
        <v>5681</v>
      </c>
      <c r="F21" s="130">
        <v>2075</v>
      </c>
      <c r="G21" s="17">
        <v>586</v>
      </c>
      <c r="H21" s="9">
        <v>973.09069999999997</v>
      </c>
      <c r="I21" s="12" t="s">
        <v>18</v>
      </c>
      <c r="J21" s="14">
        <f>1716*1.32</f>
        <v>2265.12</v>
      </c>
      <c r="K21" s="12">
        <v>2250</v>
      </c>
      <c r="L21" s="14">
        <f>1602.3*1.3261</f>
        <v>2124.8100300000001</v>
      </c>
      <c r="M21" s="15">
        <v>516</v>
      </c>
      <c r="N21" s="13">
        <f>702.98*1.16</f>
        <v>815.45679999999993</v>
      </c>
    </row>
    <row r="22" spans="1:14" ht="24" thickBot="1" x14ac:dyDescent="0.3">
      <c r="A22" s="52">
        <v>5584</v>
      </c>
      <c r="B22" s="11">
        <f>1543.07*1.39</f>
        <v>2144.8672999999999</v>
      </c>
      <c r="C22" s="12">
        <v>1253</v>
      </c>
      <c r="D22" s="11">
        <v>1166</v>
      </c>
      <c r="E22" s="122">
        <v>5682</v>
      </c>
      <c r="F22" s="127">
        <v>2178</v>
      </c>
      <c r="G22" s="17">
        <v>587</v>
      </c>
      <c r="H22" s="9">
        <v>973.09069999999997</v>
      </c>
      <c r="I22" s="12" t="s">
        <v>19</v>
      </c>
      <c r="J22" s="14">
        <f>1650*1.32</f>
        <v>2178</v>
      </c>
      <c r="K22" s="12">
        <v>3500</v>
      </c>
      <c r="L22" s="14">
        <v>1719.2121500000001</v>
      </c>
      <c r="M22" s="15">
        <v>500</v>
      </c>
      <c r="N22" s="13">
        <f>3765*1.16</f>
        <v>4367.3999999999996</v>
      </c>
    </row>
    <row r="23" spans="1:14" ht="24" thickBot="1" x14ac:dyDescent="0.4">
      <c r="A23" s="52">
        <v>5585</v>
      </c>
      <c r="B23" s="11">
        <f>1621.51*1.39</f>
        <v>2253.8988999999997</v>
      </c>
      <c r="C23" s="60">
        <v>1453</v>
      </c>
      <c r="D23" s="9">
        <v>1245</v>
      </c>
      <c r="E23" s="120">
        <v>5683</v>
      </c>
      <c r="F23" s="130">
        <v>2318</v>
      </c>
      <c r="G23" s="17">
        <v>590</v>
      </c>
      <c r="H23" s="9">
        <v>861.84379999999999</v>
      </c>
      <c r="I23" s="12" t="s">
        <v>20</v>
      </c>
      <c r="J23" s="14">
        <f>1690*1.32</f>
        <v>2230.8000000000002</v>
      </c>
      <c r="K23" s="12">
        <v>3700</v>
      </c>
      <c r="L23" s="14">
        <f>1356.5*1.26</f>
        <v>1709.19</v>
      </c>
      <c r="M23" s="15">
        <v>501</v>
      </c>
      <c r="N23" s="13">
        <f>3964*1.16</f>
        <v>4598.24</v>
      </c>
    </row>
    <row r="24" spans="1:14" ht="24" thickBot="1" x14ac:dyDescent="0.3">
      <c r="A24" s="123">
        <v>5591</v>
      </c>
      <c r="B24" s="9">
        <f>1312.26*1.39</f>
        <v>1824.0413999999998</v>
      </c>
      <c r="C24" s="12">
        <v>5556</v>
      </c>
      <c r="D24" s="63">
        <v>2092</v>
      </c>
      <c r="E24" s="122">
        <v>5688</v>
      </c>
      <c r="F24" s="127">
        <v>1870</v>
      </c>
      <c r="G24" s="17">
        <v>591</v>
      </c>
      <c r="H24" s="9">
        <v>994.82860000000005</v>
      </c>
      <c r="I24" s="12" t="s">
        <v>21</v>
      </c>
      <c r="J24" s="14">
        <f>1690*1.32</f>
        <v>2230.8000000000002</v>
      </c>
      <c r="K24" s="12">
        <v>3790</v>
      </c>
      <c r="L24" s="14">
        <f>1342.8*1.26</f>
        <v>1691.9279999999999</v>
      </c>
      <c r="M24" s="15">
        <v>513</v>
      </c>
      <c r="N24" s="13">
        <f>3612*1.16</f>
        <v>4189.92</v>
      </c>
    </row>
    <row r="25" spans="1:14" ht="24" thickBot="1" x14ac:dyDescent="0.4">
      <c r="A25" s="52">
        <v>5592</v>
      </c>
      <c r="B25" s="9">
        <f>1668.69*1.39</f>
        <v>2319.4791</v>
      </c>
      <c r="C25" s="12">
        <v>5608</v>
      </c>
      <c r="D25" s="9">
        <v>1891</v>
      </c>
      <c r="E25" s="120">
        <v>5689</v>
      </c>
      <c r="F25" s="130">
        <v>1758</v>
      </c>
      <c r="G25" s="17">
        <v>595</v>
      </c>
      <c r="H25" s="9">
        <v>941.1232</v>
      </c>
      <c r="I25" s="10" t="s">
        <v>22</v>
      </c>
      <c r="J25" s="13">
        <f>1520*1.32</f>
        <v>2006.4</v>
      </c>
      <c r="K25" s="12">
        <v>4010</v>
      </c>
      <c r="L25" s="14">
        <v>1879.30539</v>
      </c>
      <c r="M25" s="17" t="s">
        <v>23</v>
      </c>
      <c r="N25" s="13">
        <f>2857*1.16</f>
        <v>3314.12</v>
      </c>
    </row>
    <row r="26" spans="1:14" ht="24" thickBot="1" x14ac:dyDescent="0.3">
      <c r="A26" s="51">
        <v>5595</v>
      </c>
      <c r="B26" s="9">
        <f>1604.39*1.39</f>
        <v>2230.1021000000001</v>
      </c>
      <c r="C26" s="12">
        <v>5610</v>
      </c>
      <c r="D26" s="9">
        <v>2458</v>
      </c>
      <c r="E26" s="122">
        <v>5690</v>
      </c>
      <c r="F26" s="127">
        <v>2878</v>
      </c>
      <c r="G26" s="17">
        <v>596</v>
      </c>
      <c r="H26" s="9">
        <v>1146.9938999999999</v>
      </c>
      <c r="I26" s="10" t="s">
        <v>24</v>
      </c>
      <c r="J26" s="13">
        <f>1740*1.32</f>
        <v>2296.8000000000002</v>
      </c>
      <c r="K26" s="12">
        <v>4350</v>
      </c>
      <c r="L26" s="14">
        <f>1134.3*1.26</f>
        <v>1429.2179999999998</v>
      </c>
      <c r="M26" s="17" t="s">
        <v>25</v>
      </c>
      <c r="N26" s="13">
        <f>3239*1.16</f>
        <v>3757.24</v>
      </c>
    </row>
    <row r="27" spans="1:14" ht="24" thickBot="1" x14ac:dyDescent="0.4">
      <c r="A27" s="51">
        <v>5596</v>
      </c>
      <c r="B27" s="9">
        <f>1591.27*1.39</f>
        <v>2211.8652999999999</v>
      </c>
      <c r="C27" s="62">
        <v>5646</v>
      </c>
      <c r="D27" s="11">
        <v>1950</v>
      </c>
      <c r="E27" s="120">
        <v>5691</v>
      </c>
      <c r="F27" s="130">
        <v>2077</v>
      </c>
      <c r="G27" s="17" t="s">
        <v>26</v>
      </c>
      <c r="H27" s="9">
        <f>746*1.32</f>
        <v>984.72</v>
      </c>
      <c r="I27" s="10" t="s">
        <v>27</v>
      </c>
      <c r="J27" s="13">
        <f>1650*1.32</f>
        <v>2178</v>
      </c>
      <c r="K27" s="12">
        <v>4440</v>
      </c>
      <c r="L27" s="14">
        <f>1358.8*1.26</f>
        <v>1712.088</v>
      </c>
      <c r="M27" s="17">
        <v>10904</v>
      </c>
      <c r="N27" s="13">
        <f>3909*1.16</f>
        <v>4534.4399999999996</v>
      </c>
    </row>
    <row r="28" spans="1:14" ht="24" thickBot="1" x14ac:dyDescent="0.3">
      <c r="A28" s="51">
        <v>5598</v>
      </c>
      <c r="B28" s="9">
        <f>1787.76*1.39</f>
        <v>2484.9863999999998</v>
      </c>
      <c r="C28" s="62">
        <v>5647</v>
      </c>
      <c r="D28" s="61">
        <v>2115</v>
      </c>
      <c r="E28" s="119">
        <v>5692</v>
      </c>
      <c r="F28" s="126">
        <v>2505</v>
      </c>
      <c r="G28" s="17" t="s">
        <v>28</v>
      </c>
      <c r="H28" s="9">
        <v>772.33479999999997</v>
      </c>
      <c r="I28" s="10" t="s">
        <v>29</v>
      </c>
      <c r="J28" s="13">
        <v>1552.3417999999999</v>
      </c>
      <c r="K28" s="12">
        <v>5010</v>
      </c>
      <c r="L28" s="14">
        <f>841.7*1.26</f>
        <v>1060.5420000000001</v>
      </c>
      <c r="M28" s="17">
        <v>202</v>
      </c>
      <c r="N28" s="13">
        <f>4334*1.16</f>
        <v>5027.4399999999996</v>
      </c>
    </row>
    <row r="29" spans="1:14" ht="24" thickBot="1" x14ac:dyDescent="0.3">
      <c r="A29" s="123">
        <v>5599</v>
      </c>
      <c r="B29" s="63">
        <f>1766.4*1.39</f>
        <v>2455.2959999999998</v>
      </c>
      <c r="C29" s="62">
        <v>5648</v>
      </c>
      <c r="D29" s="61">
        <v>2595</v>
      </c>
      <c r="E29" s="119">
        <v>5693</v>
      </c>
      <c r="F29" s="134">
        <v>2492</v>
      </c>
      <c r="G29" s="17">
        <v>650</v>
      </c>
      <c r="H29" s="9">
        <v>2149.4947000000002</v>
      </c>
      <c r="I29" s="18"/>
      <c r="J29" s="19"/>
      <c r="K29" s="12">
        <v>5060</v>
      </c>
      <c r="L29" s="14">
        <f>1498.9*1.26</f>
        <v>1888.614</v>
      </c>
      <c r="M29" s="17">
        <v>950</v>
      </c>
      <c r="N29" s="13">
        <f>4895*1.16</f>
        <v>5678.2</v>
      </c>
    </row>
    <row r="30" spans="1:14" ht="21" thickBot="1" x14ac:dyDescent="0.3">
      <c r="A30" s="51">
        <v>5600</v>
      </c>
      <c r="B30" s="9">
        <v>2179</v>
      </c>
      <c r="C30" s="62">
        <v>5677</v>
      </c>
      <c r="D30" s="61">
        <v>2030</v>
      </c>
      <c r="E30" s="72">
        <v>5688</v>
      </c>
      <c r="F30" s="126">
        <f>1345.11*1.39</f>
        <v>1869.7028999999998</v>
      </c>
      <c r="G30" s="17">
        <v>763</v>
      </c>
      <c r="H30" s="9">
        <f>1390*1.32</f>
        <v>1834.8000000000002</v>
      </c>
      <c r="I30" s="18"/>
      <c r="J30" s="19"/>
      <c r="K30" s="12">
        <v>5090</v>
      </c>
      <c r="L30" s="14">
        <f>1435.9*1.26</f>
        <v>1809.2340000000002</v>
      </c>
      <c r="M30" s="17">
        <v>952</v>
      </c>
      <c r="N30" s="13">
        <f>4895*1.16</f>
        <v>5678.2</v>
      </c>
    </row>
    <row r="31" spans="1:14" ht="21" thickBot="1" x14ac:dyDescent="0.3">
      <c r="A31" s="52">
        <v>5628</v>
      </c>
      <c r="B31" s="11">
        <v>2045</v>
      </c>
      <c r="C31" s="62">
        <v>5685</v>
      </c>
      <c r="D31" s="61">
        <v>1759</v>
      </c>
      <c r="E31" s="12"/>
      <c r="F31" s="65"/>
      <c r="G31" s="17">
        <v>764</v>
      </c>
      <c r="H31" s="9">
        <f>1390*1.32</f>
        <v>1834.8000000000002</v>
      </c>
      <c r="I31" s="18"/>
      <c r="J31" s="19"/>
      <c r="K31" s="12">
        <v>6025</v>
      </c>
      <c r="L31" s="14">
        <f>1557.6*1.26</f>
        <v>1962.5759999999998</v>
      </c>
      <c r="M31" s="73">
        <v>5748</v>
      </c>
      <c r="N31" s="13">
        <v>2081</v>
      </c>
    </row>
    <row r="32" spans="1:14" ht="21" thickBot="1" x14ac:dyDescent="0.3">
      <c r="A32" s="51">
        <v>5634</v>
      </c>
      <c r="B32" s="9">
        <v>1930</v>
      </c>
      <c r="C32" s="60">
        <v>5686</v>
      </c>
      <c r="D32" s="61">
        <v>2289</v>
      </c>
      <c r="E32" s="18"/>
      <c r="F32" s="19"/>
      <c r="G32" s="17">
        <v>766</v>
      </c>
      <c r="H32" s="9">
        <f>1081*1.32</f>
        <v>1426.92</v>
      </c>
      <c r="I32" s="18"/>
      <c r="J32" s="19"/>
      <c r="K32" s="12">
        <v>8030</v>
      </c>
      <c r="L32" s="14">
        <f>2149.5*1.26</f>
        <v>2708.37</v>
      </c>
      <c r="M32" s="17" t="s">
        <v>30</v>
      </c>
      <c r="N32" s="13">
        <v>2512</v>
      </c>
    </row>
    <row r="33" spans="1:14" ht="21" thickBot="1" x14ac:dyDescent="0.3">
      <c r="A33" s="51">
        <v>5635</v>
      </c>
      <c r="B33" s="11">
        <v>2277</v>
      </c>
      <c r="C33" s="60">
        <v>5687</v>
      </c>
      <c r="D33" s="61">
        <v>2239</v>
      </c>
      <c r="E33" s="18"/>
      <c r="F33" s="19"/>
      <c r="G33" s="17">
        <v>1000</v>
      </c>
      <c r="H33" s="9">
        <f>1712*1.32</f>
        <v>2259.84</v>
      </c>
      <c r="I33" s="18"/>
      <c r="J33" s="19"/>
      <c r="K33" s="12">
        <v>7020</v>
      </c>
      <c r="L33" s="14">
        <v>834.60748999999998</v>
      </c>
      <c r="M33" s="17">
        <v>720</v>
      </c>
      <c r="N33" s="13">
        <f>7781*1.16</f>
        <v>9025.9599999999991</v>
      </c>
    </row>
    <row r="34" spans="1:14" ht="21" thickBot="1" x14ac:dyDescent="0.3">
      <c r="A34" s="53">
        <v>5643</v>
      </c>
      <c r="B34" s="9">
        <v>1983</v>
      </c>
      <c r="C34" s="62">
        <v>10220</v>
      </c>
      <c r="D34" s="11">
        <v>1185</v>
      </c>
      <c r="E34" s="18"/>
      <c r="F34" s="19"/>
      <c r="G34" s="17">
        <v>1084</v>
      </c>
      <c r="H34" s="9">
        <f>1950*1.32</f>
        <v>2574</v>
      </c>
      <c r="I34" s="18"/>
      <c r="J34" s="19"/>
      <c r="K34" s="12">
        <v>7025</v>
      </c>
      <c r="L34" s="14">
        <f>662.8*1.26</f>
        <v>835.12799999999993</v>
      </c>
      <c r="M34" s="17">
        <v>730</v>
      </c>
      <c r="N34" s="13">
        <f>8436*1.16</f>
        <v>9785.76</v>
      </c>
    </row>
    <row r="35" spans="1:14" ht="21" thickBot="1" x14ac:dyDescent="0.3">
      <c r="A35" s="53">
        <v>5644</v>
      </c>
      <c r="B35" s="9">
        <v>2366</v>
      </c>
      <c r="C35" s="60">
        <v>10226</v>
      </c>
      <c r="D35" s="63">
        <v>847</v>
      </c>
      <c r="E35" s="18"/>
      <c r="F35" s="19"/>
      <c r="G35" s="17">
        <v>1088</v>
      </c>
      <c r="H35" s="9">
        <f>1480*1.32</f>
        <v>1953.6000000000001</v>
      </c>
      <c r="I35" s="18"/>
      <c r="J35" s="19"/>
      <c r="K35" s="12">
        <v>7030</v>
      </c>
      <c r="L35" s="14">
        <f>729.4*1.26</f>
        <v>919.04399999999998</v>
      </c>
      <c r="M35" s="17">
        <v>740</v>
      </c>
      <c r="N35" s="13">
        <f>486.07*1.16</f>
        <v>563.84119999999996</v>
      </c>
    </row>
    <row r="36" spans="1:14" ht="21" thickBot="1" x14ac:dyDescent="0.3">
      <c r="A36" s="72">
        <v>10137</v>
      </c>
      <c r="B36" s="63">
        <v>1081</v>
      </c>
      <c r="C36" s="60">
        <v>10232</v>
      </c>
      <c r="D36" s="9">
        <v>930</v>
      </c>
      <c r="E36" s="18"/>
      <c r="F36" s="19"/>
      <c r="G36" s="17">
        <v>1108</v>
      </c>
      <c r="H36" s="9">
        <f>1274*1.32</f>
        <v>1681.68</v>
      </c>
      <c r="I36" s="18"/>
      <c r="J36" s="19"/>
      <c r="K36" s="12">
        <v>7120</v>
      </c>
      <c r="L36" s="14">
        <v>902.57039499999996</v>
      </c>
      <c r="M36" s="17">
        <v>750</v>
      </c>
      <c r="N36" s="13">
        <f>558.77*1.16</f>
        <v>648.17319999999995</v>
      </c>
    </row>
    <row r="37" spans="1:14" ht="21" thickBot="1" x14ac:dyDescent="0.3">
      <c r="A37" s="54">
        <v>10138</v>
      </c>
      <c r="B37" s="11">
        <v>1116</v>
      </c>
      <c r="C37" s="62">
        <v>11220</v>
      </c>
      <c r="D37" s="11">
        <v>1426</v>
      </c>
      <c r="E37" s="18"/>
      <c r="F37" s="19"/>
      <c r="G37" s="17">
        <v>1440</v>
      </c>
      <c r="H37" s="9">
        <v>1123.9773</v>
      </c>
      <c r="I37" s="18"/>
      <c r="J37" s="19"/>
      <c r="K37" s="12">
        <v>7125</v>
      </c>
      <c r="L37" s="14">
        <f>711.9*1.26</f>
        <v>896.99400000000003</v>
      </c>
      <c r="M37" s="17" t="s">
        <v>31</v>
      </c>
      <c r="N37" s="13">
        <f>3279*1.16</f>
        <v>3803.64</v>
      </c>
    </row>
    <row r="38" spans="1:14" ht="21" thickBot="1" x14ac:dyDescent="0.3">
      <c r="A38" s="123">
        <v>10230</v>
      </c>
      <c r="B38" s="63">
        <v>692</v>
      </c>
      <c r="C38" s="60">
        <v>11226</v>
      </c>
      <c r="D38" s="61">
        <v>960</v>
      </c>
      <c r="E38" s="18"/>
      <c r="F38" s="19"/>
      <c r="G38" s="17">
        <v>1502</v>
      </c>
      <c r="H38" s="11">
        <f>1650*1.32</f>
        <v>2178</v>
      </c>
      <c r="I38" s="18"/>
      <c r="J38" s="19"/>
      <c r="K38" s="12">
        <v>7130</v>
      </c>
      <c r="L38" s="14">
        <f>758.5*1.26</f>
        <v>955.71</v>
      </c>
      <c r="M38" s="17">
        <v>912</v>
      </c>
      <c r="N38" s="13">
        <f>4895*1.16</f>
        <v>5678.2</v>
      </c>
    </row>
    <row r="39" spans="1:14" ht="21" thickBot="1" x14ac:dyDescent="0.3">
      <c r="A39" s="55">
        <v>10231</v>
      </c>
      <c r="B39" s="63">
        <v>859</v>
      </c>
      <c r="C39" s="60">
        <v>11232</v>
      </c>
      <c r="D39" s="61">
        <v>1109</v>
      </c>
      <c r="E39" s="18"/>
      <c r="F39" s="19"/>
      <c r="G39" s="17">
        <v>1504</v>
      </c>
      <c r="H39" s="11">
        <f>1650*1.32</f>
        <v>2178</v>
      </c>
      <c r="I39" s="18"/>
      <c r="J39" s="19"/>
      <c r="K39" s="10">
        <v>2230</v>
      </c>
      <c r="L39" s="19">
        <f>1490.9*1.26</f>
        <v>1878.5340000000001</v>
      </c>
      <c r="M39" s="73">
        <v>5441</v>
      </c>
      <c r="N39" s="13">
        <v>2081</v>
      </c>
    </row>
    <row r="40" spans="1:14" ht="21" thickBot="1" x14ac:dyDescent="0.3">
      <c r="A40" s="125">
        <v>10233</v>
      </c>
      <c r="B40" s="11">
        <v>898</v>
      </c>
      <c r="C40" s="60">
        <v>12220</v>
      </c>
      <c r="D40" s="9">
        <v>1284</v>
      </c>
      <c r="E40" s="18"/>
      <c r="F40" s="19"/>
      <c r="G40" s="17">
        <v>1602</v>
      </c>
      <c r="H40" s="11">
        <f>1450*1.32</f>
        <v>1914</v>
      </c>
      <c r="I40" s="18"/>
      <c r="J40" s="19"/>
      <c r="K40" s="10">
        <v>2260</v>
      </c>
      <c r="L40" s="19">
        <f>1763.2*1.26</f>
        <v>2221.6320000000001</v>
      </c>
      <c r="M40" s="15" t="s">
        <v>32</v>
      </c>
      <c r="N40" s="20">
        <f>4359*1.16</f>
        <v>5056.4399999999996</v>
      </c>
    </row>
    <row r="41" spans="1:14" ht="21" thickBot="1" x14ac:dyDescent="0.3">
      <c r="A41" s="125">
        <v>10238</v>
      </c>
      <c r="B41" s="11">
        <v>1179</v>
      </c>
      <c r="C41" s="60">
        <v>12226</v>
      </c>
      <c r="D41" s="11">
        <v>929</v>
      </c>
      <c r="E41" s="18"/>
      <c r="F41" s="19"/>
      <c r="G41" s="17">
        <v>1603</v>
      </c>
      <c r="H41" s="11">
        <f>1450*1.32</f>
        <v>1914</v>
      </c>
      <c r="I41" s="18"/>
      <c r="J41" s="19"/>
      <c r="K41" s="18"/>
      <c r="L41" s="19"/>
      <c r="M41" s="15" t="s">
        <v>315</v>
      </c>
      <c r="N41" s="20">
        <f>3612*1.16</f>
        <v>4189.92</v>
      </c>
    </row>
    <row r="42" spans="1:14" ht="21" thickBot="1" x14ac:dyDescent="0.3">
      <c r="A42" s="55">
        <v>10239</v>
      </c>
      <c r="B42" s="61">
        <v>1230</v>
      </c>
      <c r="C42" s="60">
        <v>12232</v>
      </c>
      <c r="D42" s="11">
        <v>1139</v>
      </c>
      <c r="E42" s="18"/>
      <c r="F42" s="19"/>
      <c r="G42" s="17">
        <v>1605</v>
      </c>
      <c r="H42" s="11">
        <f>1460*1.32</f>
        <v>1927.2</v>
      </c>
      <c r="I42" s="18"/>
      <c r="J42" s="19"/>
      <c r="K42" s="18"/>
      <c r="L42" s="19"/>
      <c r="M42" s="21"/>
      <c r="N42" s="20"/>
    </row>
    <row r="43" spans="1:14" ht="21" thickBot="1" x14ac:dyDescent="0.3">
      <c r="A43" s="54">
        <v>1042</v>
      </c>
      <c r="B43" s="9">
        <v>1114</v>
      </c>
      <c r="C43" s="60">
        <v>5663</v>
      </c>
      <c r="D43" s="11">
        <v>1948</v>
      </c>
      <c r="E43" s="18"/>
      <c r="F43" s="64"/>
      <c r="G43" s="8">
        <v>1607</v>
      </c>
      <c r="H43" s="9">
        <f>1530*1.32</f>
        <v>2019.6000000000001</v>
      </c>
      <c r="I43" s="18"/>
      <c r="J43" s="19"/>
      <c r="K43" s="18"/>
      <c r="L43" s="19"/>
      <c r="M43" s="21"/>
      <c r="N43" s="20"/>
    </row>
    <row r="44" spans="1:14" ht="21" thickBot="1" x14ac:dyDescent="0.3">
      <c r="A44" s="12">
        <v>1053</v>
      </c>
      <c r="B44" s="56">
        <v>1114</v>
      </c>
      <c r="C44" s="124">
        <v>5664</v>
      </c>
      <c r="D44" s="57">
        <f>1542.52*1.39</f>
        <v>2144.1027999999997</v>
      </c>
      <c r="E44" s="58"/>
      <c r="F44" s="59"/>
      <c r="G44" s="8">
        <v>1700</v>
      </c>
      <c r="H44" s="11">
        <f>965*1.32</f>
        <v>1273.8</v>
      </c>
      <c r="I44" s="18"/>
      <c r="J44" s="19"/>
      <c r="K44" s="18"/>
      <c r="L44" s="19"/>
      <c r="M44" s="21"/>
      <c r="N44" s="20"/>
    </row>
    <row r="45" spans="1:14" ht="27" thickBot="1" x14ac:dyDescent="0.3">
      <c r="A45" s="141" t="s">
        <v>33</v>
      </c>
      <c r="B45" s="141"/>
      <c r="C45" s="141"/>
      <c r="D45" s="141"/>
      <c r="E45" s="143" t="s">
        <v>34</v>
      </c>
      <c r="F45" s="143"/>
      <c r="G45" s="143"/>
      <c r="H45" s="143"/>
      <c r="I45" s="143" t="s">
        <v>35</v>
      </c>
      <c r="J45" s="143"/>
      <c r="K45" s="143"/>
      <c r="L45" s="143"/>
      <c r="M45" s="143"/>
      <c r="N45" s="143"/>
    </row>
    <row r="46" spans="1:14" ht="20.25" x14ac:dyDescent="0.25">
      <c r="A46" s="3" t="s">
        <v>9</v>
      </c>
      <c r="B46" s="4" t="s">
        <v>10</v>
      </c>
      <c r="C46" s="5" t="s">
        <v>36</v>
      </c>
      <c r="D46" s="6" t="s">
        <v>10</v>
      </c>
      <c r="E46" s="5" t="s">
        <v>36</v>
      </c>
      <c r="F46" s="4" t="s">
        <v>10</v>
      </c>
      <c r="G46" s="5" t="s">
        <v>36</v>
      </c>
      <c r="H46" s="6" t="s">
        <v>10</v>
      </c>
      <c r="I46" s="7" t="s">
        <v>36</v>
      </c>
      <c r="J46" s="4" t="s">
        <v>10</v>
      </c>
      <c r="K46" s="5" t="s">
        <v>36</v>
      </c>
      <c r="L46" s="4" t="s">
        <v>10</v>
      </c>
      <c r="M46" s="22" t="s">
        <v>37</v>
      </c>
      <c r="N46" s="23" t="s">
        <v>10</v>
      </c>
    </row>
    <row r="47" spans="1:14" ht="20.25" x14ac:dyDescent="0.25">
      <c r="A47" s="16">
        <v>555</v>
      </c>
      <c r="B47" s="11">
        <f>1049*1.12</f>
        <v>1174.8800000000001</v>
      </c>
      <c r="C47" s="10">
        <v>645</v>
      </c>
      <c r="D47" s="9">
        <f>1049*1.12</f>
        <v>1174.8800000000001</v>
      </c>
      <c r="E47" s="10">
        <v>45</v>
      </c>
      <c r="F47" s="9">
        <f>861*1.1787</f>
        <v>1014.8607000000001</v>
      </c>
      <c r="G47" s="12">
        <v>517</v>
      </c>
      <c r="H47" s="13">
        <v>1115</v>
      </c>
      <c r="I47" s="15">
        <v>39</v>
      </c>
      <c r="J47" s="11">
        <v>875.57759999999996</v>
      </c>
      <c r="K47" s="10">
        <v>552</v>
      </c>
      <c r="L47" s="9">
        <f>2259.1*1.26</f>
        <v>2846.4659999999999</v>
      </c>
      <c r="M47" s="12">
        <v>611</v>
      </c>
      <c r="N47" s="14">
        <f>1125.5*1.26</f>
        <v>1418.13</v>
      </c>
    </row>
    <row r="48" spans="1:14" ht="20.25" x14ac:dyDescent="0.25">
      <c r="A48" s="16">
        <v>605</v>
      </c>
      <c r="B48" s="11">
        <f>699*1.12</f>
        <v>782.88000000000011</v>
      </c>
      <c r="C48" s="12">
        <v>668</v>
      </c>
      <c r="D48" s="11">
        <f>689*1.12</f>
        <v>771.68000000000006</v>
      </c>
      <c r="E48" s="10">
        <v>49</v>
      </c>
      <c r="F48" s="9">
        <f>1094.1*1.1787</f>
        <v>1289.6156699999999</v>
      </c>
      <c r="G48" s="12">
        <v>518</v>
      </c>
      <c r="H48" s="13">
        <v>1115</v>
      </c>
      <c r="I48" s="17">
        <v>79</v>
      </c>
      <c r="J48" s="9">
        <f>931.2*1.26</f>
        <v>1173.3120000000001</v>
      </c>
      <c r="K48" s="10">
        <v>582</v>
      </c>
      <c r="L48" s="9">
        <f>2097.1*1.26</f>
        <v>2642.346</v>
      </c>
      <c r="M48" s="12">
        <v>620</v>
      </c>
      <c r="N48" s="14">
        <f>1368.4*1.26</f>
        <v>1724.1840000000002</v>
      </c>
    </row>
    <row r="49" spans="1:14" ht="20.25" x14ac:dyDescent="0.25">
      <c r="A49" s="16">
        <v>607</v>
      </c>
      <c r="B49" s="11">
        <f>1029*1.12</f>
        <v>1152.48</v>
      </c>
      <c r="C49" s="10">
        <v>835</v>
      </c>
      <c r="D49" s="11">
        <f>879*1.12</f>
        <v>984.48000000000013</v>
      </c>
      <c r="E49" s="10">
        <v>50</v>
      </c>
      <c r="F49" s="11">
        <v>1290</v>
      </c>
      <c r="G49" s="12">
        <v>735</v>
      </c>
      <c r="H49" s="13">
        <v>1060</v>
      </c>
      <c r="I49" s="17">
        <v>63</v>
      </c>
      <c r="J49" s="9">
        <f>1287.4*1.26</f>
        <v>1622.124</v>
      </c>
      <c r="K49" s="10">
        <v>336</v>
      </c>
      <c r="L49" s="9">
        <f>801.61*1.26</f>
        <v>1010.0286</v>
      </c>
      <c r="M49" s="10">
        <v>630</v>
      </c>
      <c r="N49" s="14">
        <f>1368.4*1.26</f>
        <v>1724.1840000000002</v>
      </c>
    </row>
    <row r="50" spans="1:14" ht="20.25" x14ac:dyDescent="0.25">
      <c r="A50" s="16">
        <v>608</v>
      </c>
      <c r="B50" s="11">
        <f>1319*1.12</f>
        <v>1477.2800000000002</v>
      </c>
      <c r="C50" s="10">
        <v>838</v>
      </c>
      <c r="D50" s="13">
        <f>2349*1.12</f>
        <v>2630.88</v>
      </c>
      <c r="E50" s="10">
        <v>52</v>
      </c>
      <c r="F50" s="9">
        <f>886.2*1.1787</f>
        <v>1044.5639400000002</v>
      </c>
      <c r="G50" s="10">
        <v>738</v>
      </c>
      <c r="H50" s="13">
        <v>1060</v>
      </c>
      <c r="I50" s="15">
        <v>83</v>
      </c>
      <c r="J50" s="11">
        <v>875.57759999999996</v>
      </c>
      <c r="K50" s="10">
        <v>1130</v>
      </c>
      <c r="L50" s="9">
        <f>882.6*1.26</f>
        <v>1112.076</v>
      </c>
      <c r="M50" s="12">
        <v>727</v>
      </c>
      <c r="N50" s="14">
        <f>1368.4*1.26</f>
        <v>1724.1840000000002</v>
      </c>
    </row>
    <row r="51" spans="1:14" ht="21" thickBot="1" x14ac:dyDescent="0.3">
      <c r="A51" s="16">
        <v>609</v>
      </c>
      <c r="B51" s="11">
        <f>849*1.12</f>
        <v>950.88000000000011</v>
      </c>
      <c r="C51" s="12">
        <v>839</v>
      </c>
      <c r="D51" s="14">
        <f>1849*1.12</f>
        <v>2070.88</v>
      </c>
      <c r="E51" s="10">
        <v>56</v>
      </c>
      <c r="F51" s="9">
        <f>1094.1*1.1787</f>
        <v>1289.6156699999999</v>
      </c>
      <c r="G51" s="10">
        <v>739</v>
      </c>
      <c r="H51" s="13">
        <f>894.6*1.1787</f>
        <v>1054.4650200000001</v>
      </c>
      <c r="I51" s="15" t="s">
        <v>38</v>
      </c>
      <c r="J51" s="11">
        <f>1692.3*1.26</f>
        <v>2132.2979999999998</v>
      </c>
      <c r="K51" s="10">
        <v>2588</v>
      </c>
      <c r="L51" s="11">
        <f>1530.3*1.26</f>
        <v>1928.1779999999999</v>
      </c>
      <c r="M51" s="24">
        <v>737</v>
      </c>
      <c r="N51" s="14">
        <f>1368.4*1.26</f>
        <v>1724.1840000000002</v>
      </c>
    </row>
    <row r="52" spans="1:14" ht="21" thickBot="1" x14ac:dyDescent="0.3">
      <c r="A52" s="16">
        <v>610</v>
      </c>
      <c r="B52" s="11">
        <f>989*1.12</f>
        <v>1107.68</v>
      </c>
      <c r="C52" s="12">
        <v>840</v>
      </c>
      <c r="D52" s="14">
        <f>1899*1.12</f>
        <v>2126.88</v>
      </c>
      <c r="E52" s="10">
        <v>57</v>
      </c>
      <c r="F52" s="9">
        <v>1290</v>
      </c>
      <c r="G52" s="10">
        <v>901</v>
      </c>
      <c r="H52" s="13">
        <f>1073.1*1.1787</f>
        <v>1264.8629699999999</v>
      </c>
      <c r="I52" s="17">
        <v>99</v>
      </c>
      <c r="J52" s="9">
        <f>1368.4*1.26</f>
        <v>1724.1840000000002</v>
      </c>
      <c r="K52" s="10">
        <v>4135</v>
      </c>
      <c r="L52" s="9">
        <f>2421.1*1.26</f>
        <v>3050.5859999999998</v>
      </c>
      <c r="M52" s="12">
        <v>811</v>
      </c>
      <c r="N52" s="14">
        <f>1125.5*1.26</f>
        <v>1418.13</v>
      </c>
    </row>
    <row r="53" spans="1:14" ht="21" thickBot="1" x14ac:dyDescent="0.3">
      <c r="A53" s="16">
        <v>611</v>
      </c>
      <c r="B53" s="11">
        <f>999*1.12</f>
        <v>1118.8800000000001</v>
      </c>
      <c r="C53" s="12">
        <v>938</v>
      </c>
      <c r="D53" s="14">
        <f>1899*1.12</f>
        <v>2126.88</v>
      </c>
      <c r="E53" s="10">
        <v>58</v>
      </c>
      <c r="F53" s="9">
        <v>1290</v>
      </c>
      <c r="G53" s="10">
        <v>904</v>
      </c>
      <c r="H53" s="13">
        <f>507.15*1.1787</f>
        <v>597.77770499999997</v>
      </c>
      <c r="I53" s="17" t="s">
        <v>39</v>
      </c>
      <c r="J53" s="9">
        <f>1854.2*1.26</f>
        <v>2336.2919999999999</v>
      </c>
      <c r="K53" s="10">
        <v>1000</v>
      </c>
      <c r="L53" s="9">
        <v>1465.86105</v>
      </c>
      <c r="M53" s="12">
        <v>810</v>
      </c>
      <c r="N53" s="14">
        <f>1287.4*1.26</f>
        <v>1622.124</v>
      </c>
    </row>
    <row r="54" spans="1:14" ht="21" thickBot="1" x14ac:dyDescent="0.3">
      <c r="A54" s="16">
        <v>631</v>
      </c>
      <c r="B54" s="11">
        <f>669*1.12</f>
        <v>749.28000000000009</v>
      </c>
      <c r="C54" s="60">
        <v>945</v>
      </c>
      <c r="D54" s="14">
        <v>1876</v>
      </c>
      <c r="E54" s="10">
        <v>59</v>
      </c>
      <c r="F54" s="9">
        <f>1347.15*1.1787</f>
        <v>1587.8857050000001</v>
      </c>
      <c r="G54" s="10">
        <v>905</v>
      </c>
      <c r="H54" s="13">
        <f>941.85*1.1787</f>
        <v>1110.1585950000001</v>
      </c>
      <c r="I54" s="17">
        <v>199</v>
      </c>
      <c r="J54" s="9">
        <f>1692.3*1.26</f>
        <v>2132.2979999999998</v>
      </c>
      <c r="K54" s="10">
        <v>1030</v>
      </c>
      <c r="L54" s="9">
        <f>1449.4*1.26</f>
        <v>1826.2440000000001</v>
      </c>
      <c r="M54" s="12">
        <v>820</v>
      </c>
      <c r="N54" s="14">
        <f>1287.4*1.26</f>
        <v>1622.124</v>
      </c>
    </row>
    <row r="55" spans="1:14" ht="21" thickBot="1" x14ac:dyDescent="0.3">
      <c r="A55" s="16">
        <v>632</v>
      </c>
      <c r="B55" s="11">
        <f>669*1.12</f>
        <v>749.28000000000009</v>
      </c>
      <c r="C55" s="12">
        <v>1181</v>
      </c>
      <c r="D55" s="14">
        <f>1399*1.12</f>
        <v>1566.88</v>
      </c>
      <c r="E55" s="10">
        <v>61</v>
      </c>
      <c r="F55" s="11">
        <f>1094.1*1.1787</f>
        <v>1289.6156699999999</v>
      </c>
      <c r="G55" s="10">
        <v>3000</v>
      </c>
      <c r="H55" s="13">
        <f>949.95*1.1787</f>
        <v>1119.7060650000001</v>
      </c>
      <c r="I55" s="17">
        <v>299</v>
      </c>
      <c r="J55" s="9">
        <f>1854.2*1.26</f>
        <v>2336.2919999999999</v>
      </c>
      <c r="K55" s="10">
        <v>1060</v>
      </c>
      <c r="L55" s="9">
        <f>1530.3*1.26</f>
        <v>1928.1779999999999</v>
      </c>
      <c r="M55" s="12">
        <v>909</v>
      </c>
      <c r="N55" s="14">
        <f>1044.5*1.26</f>
        <v>1316.07</v>
      </c>
    </row>
    <row r="56" spans="1:14" ht="21" thickBot="1" x14ac:dyDescent="0.3">
      <c r="A56" s="16">
        <v>633</v>
      </c>
      <c r="B56" s="9">
        <f>719*1.12</f>
        <v>805.28000000000009</v>
      </c>
      <c r="C56" s="12">
        <v>1299</v>
      </c>
      <c r="D56" s="14">
        <f>1849*1.12</f>
        <v>2070.88</v>
      </c>
      <c r="E56" s="10">
        <v>63</v>
      </c>
      <c r="F56" s="11">
        <v>1290</v>
      </c>
      <c r="G56" s="10">
        <v>3006</v>
      </c>
      <c r="H56" s="13">
        <v>1265</v>
      </c>
      <c r="I56" s="17">
        <v>302</v>
      </c>
      <c r="J56" s="9">
        <f>1692.3*1.26</f>
        <v>2132.2979999999998</v>
      </c>
      <c r="K56" s="10">
        <v>1299</v>
      </c>
      <c r="L56" s="9">
        <f>1449.4*1.26</f>
        <v>1826.2440000000001</v>
      </c>
      <c r="M56" s="10">
        <v>1910</v>
      </c>
      <c r="N56" s="13">
        <f>1287.4*1.26</f>
        <v>1622.124</v>
      </c>
    </row>
    <row r="57" spans="1:14" ht="21" thickBot="1" x14ac:dyDescent="0.3">
      <c r="A57" s="16">
        <v>636</v>
      </c>
      <c r="B57" s="11">
        <f>919*1.12</f>
        <v>1029.2800000000002</v>
      </c>
      <c r="C57" s="12">
        <v>1707</v>
      </c>
      <c r="D57" s="14">
        <f>1049*1.12</f>
        <v>1174.8800000000001</v>
      </c>
      <c r="E57" s="10">
        <v>64</v>
      </c>
      <c r="F57" s="11">
        <f>1094.1*1.1787</f>
        <v>1289.6156699999999</v>
      </c>
      <c r="G57" s="10">
        <v>3013</v>
      </c>
      <c r="H57" s="13">
        <f>1072.05*1.1787</f>
        <v>1263.625335</v>
      </c>
      <c r="I57" s="15">
        <v>319</v>
      </c>
      <c r="J57" s="11">
        <v>1957.76595</v>
      </c>
      <c r="K57" s="10">
        <v>313</v>
      </c>
      <c r="L57" s="11">
        <f>850.2*1.26</f>
        <v>1071.252</v>
      </c>
      <c r="M57" s="10">
        <v>1911</v>
      </c>
      <c r="N57" s="13">
        <f>963.6*1.26</f>
        <v>1214.136</v>
      </c>
    </row>
    <row r="58" spans="1:14" ht="21" thickBot="1" x14ac:dyDescent="0.3">
      <c r="A58" s="16">
        <v>638</v>
      </c>
      <c r="B58" s="11">
        <f>2349*1.12</f>
        <v>2630.88</v>
      </c>
      <c r="C58" s="12">
        <v>5015</v>
      </c>
      <c r="D58" s="14">
        <f>769*1.12</f>
        <v>861.28000000000009</v>
      </c>
      <c r="E58" s="10">
        <v>66</v>
      </c>
      <c r="F58" s="11">
        <v>1290</v>
      </c>
      <c r="G58" s="10">
        <v>3016</v>
      </c>
      <c r="H58" s="13">
        <v>1265</v>
      </c>
      <c r="I58" s="17">
        <v>322</v>
      </c>
      <c r="J58" s="9">
        <f>1611.3*1.26</f>
        <v>2030.2380000000001</v>
      </c>
      <c r="K58" s="10">
        <v>411</v>
      </c>
      <c r="L58" s="9">
        <f>963.6*1.26</f>
        <v>1214.136</v>
      </c>
      <c r="M58" s="10">
        <v>89</v>
      </c>
      <c r="N58" s="13">
        <f>1125.5*1.26</f>
        <v>1418.13</v>
      </c>
    </row>
    <row r="59" spans="1:14" ht="21" thickBot="1" x14ac:dyDescent="0.3">
      <c r="A59" s="16">
        <v>639</v>
      </c>
      <c r="B59" s="11">
        <f>1849*1.12</f>
        <v>2070.88</v>
      </c>
      <c r="C59" s="12">
        <v>5106</v>
      </c>
      <c r="D59" s="14">
        <f>779*1.12</f>
        <v>872.48000000000013</v>
      </c>
      <c r="E59" s="10">
        <v>67</v>
      </c>
      <c r="F59" s="11">
        <v>1290</v>
      </c>
      <c r="G59" s="10">
        <v>3017</v>
      </c>
      <c r="H59" s="13">
        <v>1265</v>
      </c>
      <c r="I59" s="17" t="s">
        <v>40</v>
      </c>
      <c r="J59" s="9">
        <f>2178.1*1.26</f>
        <v>2744.4059999999999</v>
      </c>
      <c r="K59" s="10">
        <v>430</v>
      </c>
      <c r="L59" s="11">
        <f>1368.4*1.26</f>
        <v>1724.1840000000002</v>
      </c>
      <c r="M59" s="10">
        <v>989</v>
      </c>
      <c r="N59" s="13">
        <f>1692.3*1.26</f>
        <v>2132.2979999999998</v>
      </c>
    </row>
    <row r="60" spans="1:14" ht="21" thickBot="1" x14ac:dyDescent="0.3">
      <c r="A60" s="16">
        <v>643</v>
      </c>
      <c r="B60" s="11">
        <f>1049*1.12</f>
        <v>1174.8800000000001</v>
      </c>
      <c r="C60" s="12">
        <v>5244</v>
      </c>
      <c r="D60" s="14">
        <f>769*1.12</f>
        <v>861.28000000000009</v>
      </c>
      <c r="E60" s="10">
        <v>70</v>
      </c>
      <c r="F60" s="11">
        <v>1290</v>
      </c>
      <c r="G60" s="10">
        <v>3019</v>
      </c>
      <c r="H60" s="13">
        <f>1072.05*1.1787</f>
        <v>1263.625335</v>
      </c>
      <c r="I60" s="17">
        <v>968</v>
      </c>
      <c r="J60" s="9">
        <f>2016.1*1.26</f>
        <v>2540.2860000000001</v>
      </c>
      <c r="K60" s="10">
        <v>510</v>
      </c>
      <c r="L60" s="11">
        <f>1368.4*1.26</f>
        <v>1724.1840000000002</v>
      </c>
      <c r="M60" s="10">
        <v>565</v>
      </c>
      <c r="N60" s="13">
        <f>1692.3*1.26</f>
        <v>2132.2979999999998</v>
      </c>
    </row>
    <row r="61" spans="1:14" ht="21" thickBot="1" x14ac:dyDescent="0.3">
      <c r="A61" s="8"/>
      <c r="B61" s="9"/>
      <c r="C61" s="12"/>
      <c r="D61" s="14"/>
      <c r="E61" s="10">
        <v>70</v>
      </c>
      <c r="F61" s="11">
        <v>1290</v>
      </c>
      <c r="G61" s="10">
        <v>6043</v>
      </c>
      <c r="H61" s="13">
        <v>2470</v>
      </c>
      <c r="I61" s="17" t="s">
        <v>41</v>
      </c>
      <c r="J61" s="9">
        <f>2178.1*1.26</f>
        <v>2744.4059999999999</v>
      </c>
      <c r="K61" s="10">
        <v>511</v>
      </c>
      <c r="L61" s="11">
        <f>1044.5*1.26</f>
        <v>1316.07</v>
      </c>
      <c r="M61" s="10">
        <v>1030</v>
      </c>
      <c r="N61" s="19">
        <f>1449.4*1.26</f>
        <v>1826.2440000000001</v>
      </c>
    </row>
    <row r="62" spans="1:14" ht="21" thickBot="1" x14ac:dyDescent="0.3">
      <c r="A62" s="8"/>
      <c r="B62" s="9"/>
      <c r="C62" s="18"/>
      <c r="D62" s="19"/>
      <c r="E62" s="10">
        <v>71</v>
      </c>
      <c r="F62" s="11">
        <v>1290</v>
      </c>
      <c r="G62" s="10">
        <v>6044</v>
      </c>
      <c r="H62" s="13">
        <v>2470</v>
      </c>
      <c r="I62" s="17">
        <v>1554</v>
      </c>
      <c r="J62" s="9">
        <f>1692.3*1.26</f>
        <v>2132.2979999999998</v>
      </c>
      <c r="K62" s="10">
        <v>520</v>
      </c>
      <c r="L62" s="11">
        <f>1368.4*1.26</f>
        <v>1724.1840000000002</v>
      </c>
      <c r="M62" s="10">
        <v>398</v>
      </c>
      <c r="N62" s="19">
        <f>1692.3*1.26</f>
        <v>2132.2979999999998</v>
      </c>
    </row>
    <row r="63" spans="1:14" ht="21" thickBot="1" x14ac:dyDescent="0.3">
      <c r="A63" s="8"/>
      <c r="B63" s="9"/>
      <c r="C63" s="18"/>
      <c r="D63" s="19"/>
      <c r="E63" s="10">
        <v>74</v>
      </c>
      <c r="F63" s="11">
        <v>1290</v>
      </c>
      <c r="G63" s="10">
        <v>8025</v>
      </c>
      <c r="H63" s="19">
        <v>2470</v>
      </c>
      <c r="I63" s="15">
        <v>456</v>
      </c>
      <c r="J63" s="9">
        <f>1692.3*1.26</f>
        <v>2132.2979999999998</v>
      </c>
      <c r="K63" s="10">
        <v>550</v>
      </c>
      <c r="L63" s="11">
        <f>1854.2*1.26</f>
        <v>2336.2919999999999</v>
      </c>
      <c r="M63" s="10" t="s">
        <v>316</v>
      </c>
      <c r="N63" s="19">
        <f>2259.1*1.26</f>
        <v>2846.4659999999999</v>
      </c>
    </row>
    <row r="64" spans="1:14" ht="21" thickBot="1" x14ac:dyDescent="0.3">
      <c r="A64" s="8"/>
      <c r="B64" s="9"/>
      <c r="C64" s="18"/>
      <c r="D64" s="19"/>
      <c r="E64" s="10">
        <v>500</v>
      </c>
      <c r="F64" s="11">
        <f>765.45*1.1787</f>
        <v>902.23591500000009</v>
      </c>
      <c r="G64" s="10">
        <v>8028</v>
      </c>
      <c r="H64" s="19">
        <v>2470</v>
      </c>
      <c r="I64" s="15">
        <v>465</v>
      </c>
      <c r="J64" s="9">
        <f>2016.1*1.26</f>
        <v>2540.2860000000001</v>
      </c>
      <c r="K64" s="10">
        <v>610</v>
      </c>
      <c r="L64" s="11">
        <f>1368.4*1.26</f>
        <v>1724.1840000000002</v>
      </c>
      <c r="M64" s="10">
        <v>2510</v>
      </c>
      <c r="N64" s="19">
        <f>1935.2*1.26</f>
        <v>2438.3519999999999</v>
      </c>
    </row>
    <row r="65" spans="1:53" ht="21" thickBot="1" x14ac:dyDescent="0.3">
      <c r="A65" s="68"/>
      <c r="B65" s="67"/>
      <c r="C65" s="45"/>
      <c r="D65" s="44"/>
      <c r="E65" s="12">
        <v>512</v>
      </c>
      <c r="F65" s="11">
        <v>1115</v>
      </c>
      <c r="G65" s="10">
        <v>700</v>
      </c>
      <c r="H65" s="19">
        <f>765.45*1.1787</f>
        <v>902.23591500000009</v>
      </c>
      <c r="I65" s="49">
        <v>430</v>
      </c>
      <c r="J65" s="67">
        <f>1368.4*1.26</f>
        <v>1724.1840000000002</v>
      </c>
      <c r="K65" s="49">
        <v>10</v>
      </c>
      <c r="L65" s="85">
        <f>2178.1*1.26</f>
        <v>2744.4059999999999</v>
      </c>
      <c r="M65" s="98" t="s">
        <v>321</v>
      </c>
      <c r="N65" s="99">
        <v>2744</v>
      </c>
    </row>
    <row r="66" spans="1:53" s="92" customFormat="1" ht="21" thickBot="1" x14ac:dyDescent="0.3">
      <c r="A66" s="94"/>
      <c r="B66" s="95"/>
      <c r="C66" s="96"/>
      <c r="D66" s="102"/>
      <c r="E66" s="10">
        <v>521</v>
      </c>
      <c r="F66" s="19">
        <f>943.45*1.1787</f>
        <v>1112.044515</v>
      </c>
      <c r="G66" s="10">
        <v>742</v>
      </c>
      <c r="H66" s="19">
        <f>894.6*1.1787</f>
        <v>1054.4650200000001</v>
      </c>
      <c r="I66" s="98">
        <v>530</v>
      </c>
      <c r="J66" s="97">
        <v>1826</v>
      </c>
      <c r="K66" s="98">
        <v>4125</v>
      </c>
      <c r="L66" s="97">
        <f>2178.1*1.26</f>
        <v>2744.4059999999999</v>
      </c>
      <c r="M66" s="98">
        <v>5061</v>
      </c>
      <c r="N66" s="99">
        <f>2097.1*1.26</f>
        <v>2642.346</v>
      </c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93"/>
    </row>
    <row r="67" spans="1:53" s="82" customFormat="1" ht="21" thickBot="1" x14ac:dyDescent="0.3">
      <c r="A67" s="94"/>
      <c r="B67" s="95"/>
      <c r="C67" s="96"/>
      <c r="D67" s="106"/>
      <c r="E67" s="101">
        <v>1001</v>
      </c>
      <c r="F67" s="103">
        <f>943.95*1.1787</f>
        <v>1112.6338650000002</v>
      </c>
      <c r="G67" s="10">
        <v>745</v>
      </c>
      <c r="H67" s="19">
        <f>894.6*1.1787</f>
        <v>1054.4650200000001</v>
      </c>
      <c r="I67" s="98">
        <v>420</v>
      </c>
      <c r="J67" s="95">
        <f>1206.5*1.26</f>
        <v>1520.19</v>
      </c>
      <c r="K67" s="98">
        <v>836</v>
      </c>
      <c r="L67" s="97">
        <f>963.6*1.26</f>
        <v>1214.136</v>
      </c>
      <c r="M67" s="98">
        <v>558</v>
      </c>
      <c r="N67" s="106">
        <f>2097.1*1.26</f>
        <v>2642.346</v>
      </c>
    </row>
    <row r="68" spans="1:53" s="82" customFormat="1" ht="20.25" x14ac:dyDescent="0.25">
      <c r="A68" s="86"/>
      <c r="B68" s="87"/>
      <c r="C68" s="88"/>
      <c r="D68" s="105"/>
      <c r="E68" s="49" t="s">
        <v>42</v>
      </c>
      <c r="F68" s="44">
        <v>756</v>
      </c>
      <c r="G68" s="49">
        <v>746</v>
      </c>
      <c r="H68" s="44">
        <f>894.6*1.1787</f>
        <v>1054.4650200000001</v>
      </c>
      <c r="I68" s="108">
        <v>940</v>
      </c>
      <c r="J68" s="87">
        <f>1368.4*1.26</f>
        <v>1724.1840000000002</v>
      </c>
      <c r="K68" s="91">
        <v>920</v>
      </c>
      <c r="L68" s="90">
        <f>1206.5*1.26</f>
        <v>1520.19</v>
      </c>
      <c r="M68" s="91">
        <v>717</v>
      </c>
      <c r="N68" s="89">
        <f>1368.4*1.26</f>
        <v>1724.1840000000002</v>
      </c>
    </row>
    <row r="69" spans="1:53" s="82" customFormat="1" ht="21" thickBot="1" x14ac:dyDescent="0.3">
      <c r="A69" s="94"/>
      <c r="B69" s="95"/>
      <c r="C69" s="96"/>
      <c r="D69" s="99"/>
      <c r="E69" s="109">
        <v>68</v>
      </c>
      <c r="F69" s="106">
        <v>1290</v>
      </c>
      <c r="G69" s="100">
        <v>740</v>
      </c>
      <c r="H69" s="104">
        <f>894.6*1.1787</f>
        <v>1054.4650200000001</v>
      </c>
      <c r="I69" s="110">
        <v>910</v>
      </c>
      <c r="J69" s="95">
        <f>1206.5*1.26</f>
        <v>1520.19</v>
      </c>
      <c r="K69" s="98">
        <v>565</v>
      </c>
      <c r="L69" s="97">
        <f>1692.3*1.26</f>
        <v>2132.2979999999998</v>
      </c>
      <c r="M69" s="98"/>
      <c r="N69" s="106"/>
    </row>
    <row r="70" spans="1:53" s="92" customFormat="1" ht="20.25" x14ac:dyDescent="0.25">
      <c r="A70" s="86"/>
      <c r="B70" s="87"/>
      <c r="C70" s="88"/>
      <c r="D70" s="89"/>
      <c r="E70" s="91"/>
      <c r="F70" s="89"/>
      <c r="G70" s="49">
        <v>741</v>
      </c>
      <c r="H70" s="107">
        <v>1055</v>
      </c>
      <c r="I70" s="91"/>
      <c r="J70" s="87"/>
      <c r="K70" s="91" t="s">
        <v>322</v>
      </c>
      <c r="L70" s="90">
        <f>2178.1*1.26</f>
        <v>2744.4059999999999</v>
      </c>
      <c r="M70" s="91"/>
      <c r="N70" s="89"/>
    </row>
    <row r="71" spans="1:53" ht="27" thickBot="1" x14ac:dyDescent="0.3">
      <c r="A71" s="144" t="s">
        <v>43</v>
      </c>
      <c r="B71" s="144"/>
      <c r="C71" s="144"/>
      <c r="D71" s="144"/>
      <c r="E71" s="145" t="s">
        <v>44</v>
      </c>
      <c r="F71" s="145"/>
      <c r="G71" s="146" t="s">
        <v>45</v>
      </c>
      <c r="H71" s="146"/>
      <c r="I71" s="146"/>
      <c r="J71" s="146"/>
      <c r="K71" s="146"/>
      <c r="L71" s="146"/>
      <c r="M71" s="146"/>
      <c r="N71" s="147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</row>
    <row r="72" spans="1:53" ht="21" thickBot="1" x14ac:dyDescent="0.3">
      <c r="A72" s="25" t="s">
        <v>9</v>
      </c>
      <c r="B72" s="26" t="s">
        <v>10</v>
      </c>
      <c r="C72" s="5" t="s">
        <v>36</v>
      </c>
      <c r="D72" s="6" t="s">
        <v>10</v>
      </c>
      <c r="E72" s="5" t="s">
        <v>37</v>
      </c>
      <c r="F72" s="6" t="s">
        <v>10</v>
      </c>
      <c r="G72" s="7" t="s">
        <v>36</v>
      </c>
      <c r="H72" s="4" t="s">
        <v>10</v>
      </c>
      <c r="I72" s="5" t="s">
        <v>36</v>
      </c>
      <c r="J72" s="4" t="s">
        <v>10</v>
      </c>
      <c r="K72" s="5" t="s">
        <v>36</v>
      </c>
      <c r="L72" s="4" t="s">
        <v>10</v>
      </c>
      <c r="M72" s="5" t="s">
        <v>36</v>
      </c>
      <c r="N72" s="40" t="s">
        <v>10</v>
      </c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</row>
    <row r="73" spans="1:53" ht="20.25" x14ac:dyDescent="0.25">
      <c r="A73" s="8">
        <v>10</v>
      </c>
      <c r="B73" s="9">
        <f>463.9*1.26</f>
        <v>584.51400000000001</v>
      </c>
      <c r="C73" s="12" t="s">
        <v>46</v>
      </c>
      <c r="D73" s="14">
        <f>1204.7*1.26</f>
        <v>1517.922</v>
      </c>
      <c r="E73" s="10" t="s">
        <v>47</v>
      </c>
      <c r="F73" s="13">
        <v>1900</v>
      </c>
      <c r="G73" s="73">
        <v>4000</v>
      </c>
      <c r="H73" s="9">
        <f>1409*1.4544</f>
        <v>2049.2496000000001</v>
      </c>
      <c r="I73" s="12">
        <v>8103</v>
      </c>
      <c r="J73" s="9">
        <f>1464*1.4544</f>
        <v>2129.2415999999998</v>
      </c>
      <c r="K73" s="12">
        <v>8141</v>
      </c>
      <c r="L73" s="9">
        <f>1594*1.4544</f>
        <v>2318.3136</v>
      </c>
      <c r="M73" s="10">
        <v>42</v>
      </c>
      <c r="N73" s="13">
        <v>1105.8094080000001</v>
      </c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</row>
    <row r="74" spans="1:53" ht="20.25" x14ac:dyDescent="0.25">
      <c r="A74" s="16">
        <v>11</v>
      </c>
      <c r="B74" s="63">
        <v>535.69349999999997</v>
      </c>
      <c r="C74" s="12" t="s">
        <v>48</v>
      </c>
      <c r="D74" s="14">
        <f>1308.6*1.26</f>
        <v>1648.8359999999998</v>
      </c>
      <c r="E74" s="10" t="s">
        <v>49</v>
      </c>
      <c r="F74" s="13">
        <v>1900</v>
      </c>
      <c r="G74" s="73" t="s">
        <v>50</v>
      </c>
      <c r="H74" s="9">
        <f>1618*1.4544</f>
        <v>2353.2192</v>
      </c>
      <c r="I74" s="12">
        <v>8112</v>
      </c>
      <c r="J74" s="9">
        <f>1199*1.4544</f>
        <v>1743.8255999999999</v>
      </c>
      <c r="K74" s="12">
        <v>9910</v>
      </c>
      <c r="L74" s="9">
        <f>1377*1.4544</f>
        <v>2002.7087999999999</v>
      </c>
      <c r="M74" s="10">
        <v>43</v>
      </c>
      <c r="N74" s="13">
        <v>1041.408576</v>
      </c>
    </row>
    <row r="75" spans="1:53" ht="20.25" x14ac:dyDescent="0.25">
      <c r="A75" s="16">
        <v>14</v>
      </c>
      <c r="B75" s="63">
        <v>562.60574999999994</v>
      </c>
      <c r="C75" s="10">
        <v>310</v>
      </c>
      <c r="D75" s="14">
        <f>1322.4*1.26</f>
        <v>1666.2240000000002</v>
      </c>
      <c r="E75" s="10" t="s">
        <v>51</v>
      </c>
      <c r="F75" s="13">
        <v>1900</v>
      </c>
      <c r="G75" s="73" t="s">
        <v>52</v>
      </c>
      <c r="H75" s="9">
        <f>1443*1.4544</f>
        <v>2098.6992</v>
      </c>
      <c r="I75" s="12">
        <v>8113</v>
      </c>
      <c r="J75" s="9">
        <f>1529*1.4544</f>
        <v>2223.7775999999999</v>
      </c>
      <c r="K75" s="60">
        <v>15</v>
      </c>
      <c r="L75" s="9">
        <v>1364.2272</v>
      </c>
      <c r="M75" s="10">
        <v>44</v>
      </c>
      <c r="N75" s="13">
        <v>1225.1865600000001</v>
      </c>
    </row>
    <row r="76" spans="1:53" ht="20.25" x14ac:dyDescent="0.25">
      <c r="A76" s="16">
        <v>15</v>
      </c>
      <c r="B76" s="63">
        <v>556.89525000000003</v>
      </c>
      <c r="C76" s="12" t="s">
        <v>53</v>
      </c>
      <c r="D76" s="14">
        <f>1016.6*1.26</f>
        <v>1280.9159999999999</v>
      </c>
      <c r="E76" s="10" t="s">
        <v>54</v>
      </c>
      <c r="F76" s="13">
        <v>1900</v>
      </c>
      <c r="G76" s="73" t="s">
        <v>55</v>
      </c>
      <c r="H76" s="9">
        <f>1478*1.4544</f>
        <v>2149.6032</v>
      </c>
      <c r="I76" s="12">
        <v>8114</v>
      </c>
      <c r="J76" s="9">
        <f>1396*1.4544</f>
        <v>2030.3423999999998</v>
      </c>
      <c r="K76" s="60">
        <v>16</v>
      </c>
      <c r="L76" s="9">
        <v>1663.8335999999999</v>
      </c>
      <c r="M76" s="10">
        <v>45</v>
      </c>
      <c r="N76" s="14">
        <v>1113.663168</v>
      </c>
    </row>
    <row r="77" spans="1:53" ht="20.25" x14ac:dyDescent="0.25">
      <c r="A77" s="8" t="s">
        <v>56</v>
      </c>
      <c r="B77" s="9">
        <f>491.4*1.26</f>
        <v>619.16399999999999</v>
      </c>
      <c r="C77" s="12" t="s">
        <v>57</v>
      </c>
      <c r="D77" s="14">
        <f>1258.2*1.26</f>
        <v>1585.3320000000001</v>
      </c>
      <c r="E77" s="10" t="s">
        <v>58</v>
      </c>
      <c r="F77" s="13">
        <v>1900</v>
      </c>
      <c r="G77" s="83">
        <v>7020</v>
      </c>
      <c r="H77" s="11">
        <f>1298*1.4544</f>
        <v>1887.8111999999999</v>
      </c>
      <c r="I77" s="12">
        <v>8118</v>
      </c>
      <c r="J77" s="9">
        <f>1761*1.4544</f>
        <v>2561.1983999999998</v>
      </c>
      <c r="K77" s="60">
        <v>17</v>
      </c>
      <c r="L77" s="9">
        <v>1118</v>
      </c>
      <c r="M77" s="10">
        <v>54</v>
      </c>
      <c r="N77" s="13">
        <v>1304.5968</v>
      </c>
    </row>
    <row r="78" spans="1:53" ht="20.25" x14ac:dyDescent="0.25">
      <c r="A78" s="16">
        <v>21</v>
      </c>
      <c r="B78" s="9">
        <v>631.55700000000002</v>
      </c>
      <c r="C78" s="10">
        <v>430</v>
      </c>
      <c r="D78" s="14">
        <f>1299.4*1.26</f>
        <v>1637.2440000000001</v>
      </c>
      <c r="E78" s="10" t="s">
        <v>59</v>
      </c>
      <c r="F78" s="13">
        <v>1900</v>
      </c>
      <c r="G78" s="83">
        <v>7070</v>
      </c>
      <c r="H78" s="11">
        <f>1700*1.4544</f>
        <v>2472.48</v>
      </c>
      <c r="I78" s="60">
        <v>8120</v>
      </c>
      <c r="J78" s="9">
        <f>1721*1.4544</f>
        <v>2503.0223999999998</v>
      </c>
      <c r="K78" s="60">
        <v>18</v>
      </c>
      <c r="L78" s="9">
        <v>1396.2239999999999</v>
      </c>
      <c r="M78" s="12">
        <v>57</v>
      </c>
      <c r="N78" s="13">
        <v>1166.4287999999999</v>
      </c>
    </row>
    <row r="79" spans="1:53" ht="20.25" x14ac:dyDescent="0.25">
      <c r="A79" s="8" t="s">
        <v>60</v>
      </c>
      <c r="B79" s="63">
        <v>506.35124999999999</v>
      </c>
      <c r="C79" s="12" t="s">
        <v>61</v>
      </c>
      <c r="D79" s="14">
        <f>1292.7*1.26</f>
        <v>1628.8020000000001</v>
      </c>
      <c r="E79" s="10" t="s">
        <v>62</v>
      </c>
      <c r="F79" s="13">
        <v>1900</v>
      </c>
      <c r="G79" s="73" t="s">
        <v>63</v>
      </c>
      <c r="H79" s="9">
        <f>1240*1.4544</f>
        <v>1803.4559999999999</v>
      </c>
      <c r="I79" s="12">
        <v>8121</v>
      </c>
      <c r="J79" s="9">
        <f>1429*1.4544</f>
        <v>2078.3375999999998</v>
      </c>
      <c r="K79" s="60">
        <v>23</v>
      </c>
      <c r="L79" s="9">
        <v>1460.2175999999999</v>
      </c>
      <c r="M79" s="12">
        <v>56</v>
      </c>
      <c r="N79" s="13">
        <v>1575</v>
      </c>
    </row>
    <row r="80" spans="1:53" ht="20.25" x14ac:dyDescent="0.25">
      <c r="A80" s="8">
        <v>40</v>
      </c>
      <c r="B80" s="9">
        <f>493.7*1.26</f>
        <v>622.06200000000001</v>
      </c>
      <c r="C80" s="10">
        <v>450</v>
      </c>
      <c r="D80" s="14">
        <f>1021.3*1.26</f>
        <v>1286.838</v>
      </c>
      <c r="E80" s="10" t="s">
        <v>64</v>
      </c>
      <c r="F80" s="13">
        <v>1900</v>
      </c>
      <c r="G80" s="73">
        <v>8030</v>
      </c>
      <c r="H80" s="9">
        <v>1455</v>
      </c>
      <c r="I80" s="10">
        <v>8122</v>
      </c>
      <c r="J80" s="11">
        <f>1342*1.4544</f>
        <v>1951.8047999999999</v>
      </c>
      <c r="K80" s="60">
        <v>24</v>
      </c>
      <c r="L80" s="9">
        <v>1452.9456</v>
      </c>
      <c r="M80" s="12">
        <v>58</v>
      </c>
      <c r="N80" s="13">
        <v>1233.3312000000001</v>
      </c>
    </row>
    <row r="81" spans="1:14" ht="20.25" x14ac:dyDescent="0.25">
      <c r="A81" s="8">
        <v>41</v>
      </c>
      <c r="B81" s="9">
        <f>528.6*1.26</f>
        <v>666.03600000000006</v>
      </c>
      <c r="C81" s="10">
        <v>460</v>
      </c>
      <c r="D81" s="13">
        <f>1245.2*1.26</f>
        <v>1568.952</v>
      </c>
      <c r="E81" s="12">
        <v>603</v>
      </c>
      <c r="F81" s="14">
        <v>790</v>
      </c>
      <c r="G81" s="73">
        <v>8060</v>
      </c>
      <c r="H81" s="9">
        <f>1663*1.4544</f>
        <v>2418.6671999999999</v>
      </c>
      <c r="I81" s="12">
        <v>8127</v>
      </c>
      <c r="J81" s="9">
        <f>1469*1.4544</f>
        <v>2136.5135999999998</v>
      </c>
      <c r="K81" s="60">
        <v>27</v>
      </c>
      <c r="L81" s="9">
        <v>1174.9224959999999</v>
      </c>
      <c r="M81" s="12">
        <v>59</v>
      </c>
      <c r="N81" s="13">
        <v>1157.7023999999999</v>
      </c>
    </row>
    <row r="82" spans="1:14" ht="20.25" x14ac:dyDescent="0.25">
      <c r="A82" s="8">
        <v>70</v>
      </c>
      <c r="B82" s="63">
        <v>757.55250000000001</v>
      </c>
      <c r="C82" s="62">
        <v>470</v>
      </c>
      <c r="D82" s="13">
        <v>1215.1215</v>
      </c>
      <c r="E82" s="12">
        <v>99</v>
      </c>
      <c r="F82" s="14">
        <v>790</v>
      </c>
      <c r="G82" s="73" t="s">
        <v>65</v>
      </c>
      <c r="H82" s="9">
        <f>1275*1.4544</f>
        <v>1854.36</v>
      </c>
      <c r="I82" s="12">
        <v>8130</v>
      </c>
      <c r="J82" s="11">
        <f>1233*1.4544</f>
        <v>1793.2751999999998</v>
      </c>
      <c r="K82" s="62">
        <v>28</v>
      </c>
      <c r="L82" s="11">
        <v>1225.1865600000001</v>
      </c>
      <c r="M82" s="12">
        <v>60</v>
      </c>
      <c r="N82" s="13">
        <v>1393.257024</v>
      </c>
    </row>
    <row r="83" spans="1:14" ht="20.25" x14ac:dyDescent="0.25">
      <c r="A83" s="8">
        <v>75</v>
      </c>
      <c r="B83" s="63">
        <v>746.8605</v>
      </c>
      <c r="C83" s="62">
        <v>500</v>
      </c>
      <c r="D83" s="13">
        <f>818.7*1.26</f>
        <v>1031.5620000000001</v>
      </c>
      <c r="E83" s="12"/>
      <c r="F83" s="14"/>
      <c r="G83" s="73" t="s">
        <v>66</v>
      </c>
      <c r="H83" s="9">
        <f>1446*1.4544</f>
        <v>2103.0623999999998</v>
      </c>
      <c r="I83" s="12">
        <v>8132</v>
      </c>
      <c r="J83" s="9">
        <f>1635*1.4544</f>
        <v>2377.944</v>
      </c>
      <c r="K83" s="62">
        <v>30</v>
      </c>
      <c r="L83" s="11">
        <v>1525.200192</v>
      </c>
      <c r="M83" s="10">
        <v>62</v>
      </c>
      <c r="N83" s="13">
        <f>1009*1.36</f>
        <v>1372.24</v>
      </c>
    </row>
    <row r="84" spans="1:14" ht="20.25" x14ac:dyDescent="0.25">
      <c r="A84" s="8" t="s">
        <v>67</v>
      </c>
      <c r="B84" s="9">
        <f>1174.2*1.26</f>
        <v>1479.492</v>
      </c>
      <c r="C84" s="10">
        <v>610</v>
      </c>
      <c r="D84" s="13">
        <f>1531.1*1.26</f>
        <v>1929.1859999999999</v>
      </c>
      <c r="E84" s="12"/>
      <c r="F84" s="14"/>
      <c r="G84" s="73" t="s">
        <v>68</v>
      </c>
      <c r="H84" s="9">
        <f>1573*1.4544</f>
        <v>2287.7711999999997</v>
      </c>
      <c r="I84" s="12">
        <v>8133</v>
      </c>
      <c r="J84" s="11">
        <f>1383*1.4544</f>
        <v>2011.4351999999999</v>
      </c>
      <c r="K84" s="62">
        <v>31</v>
      </c>
      <c r="L84" s="11">
        <v>1425.3119999999999</v>
      </c>
      <c r="M84" s="10">
        <v>63</v>
      </c>
      <c r="N84" s="13">
        <v>1276</v>
      </c>
    </row>
    <row r="85" spans="1:14" ht="20.25" x14ac:dyDescent="0.25">
      <c r="A85" s="8" t="s">
        <v>69</v>
      </c>
      <c r="B85" s="9">
        <f>1287.9*1.26</f>
        <v>1622.7540000000001</v>
      </c>
      <c r="C85" s="12">
        <v>620</v>
      </c>
      <c r="D85" s="14">
        <f>1655.4*1.26</f>
        <v>2085.8040000000001</v>
      </c>
      <c r="E85" s="12"/>
      <c r="F85" s="14"/>
      <c r="G85" s="73">
        <v>8095</v>
      </c>
      <c r="H85" s="9">
        <f>1488*1.4544</f>
        <v>2164.1471999999999</v>
      </c>
      <c r="I85" s="12">
        <v>8134</v>
      </c>
      <c r="J85" s="9">
        <f>1471*1.4544</f>
        <v>2139.4223999999999</v>
      </c>
      <c r="K85" s="62">
        <v>32</v>
      </c>
      <c r="L85" s="11">
        <v>1579.4784</v>
      </c>
      <c r="M85" s="10">
        <v>66</v>
      </c>
      <c r="N85" s="13">
        <v>997.42751999999996</v>
      </c>
    </row>
    <row r="86" spans="1:14" ht="20.25" x14ac:dyDescent="0.25">
      <c r="A86" s="16">
        <v>140</v>
      </c>
      <c r="B86" s="9">
        <v>1449.8595</v>
      </c>
      <c r="C86" s="12">
        <v>630</v>
      </c>
      <c r="D86" s="14">
        <f>1460.2*1.26</f>
        <v>1839.8520000000001</v>
      </c>
      <c r="E86" s="12"/>
      <c r="F86" s="14"/>
      <c r="G86" s="73" t="s">
        <v>71</v>
      </c>
      <c r="H86" s="9">
        <f>1436*1.4544</f>
        <v>2088.5183999999999</v>
      </c>
      <c r="I86" s="12">
        <v>8136</v>
      </c>
      <c r="J86" s="9">
        <f>1723*1.4544</f>
        <v>2505.9312</v>
      </c>
      <c r="K86" s="62">
        <v>35</v>
      </c>
      <c r="L86" s="11">
        <v>1114</v>
      </c>
      <c r="M86" s="10">
        <v>67</v>
      </c>
      <c r="N86" s="13">
        <v>1035.1255679999999</v>
      </c>
    </row>
    <row r="87" spans="1:14" ht="20.25" x14ac:dyDescent="0.25">
      <c r="A87" s="16">
        <v>160</v>
      </c>
      <c r="B87" s="11">
        <f>1288.8*1.26</f>
        <v>1623.8879999999999</v>
      </c>
      <c r="C87" s="62">
        <v>700</v>
      </c>
      <c r="D87" s="13">
        <v>1087.0605</v>
      </c>
      <c r="E87" s="12"/>
      <c r="F87" s="14"/>
      <c r="G87" s="73" t="s">
        <v>72</v>
      </c>
      <c r="H87" s="9">
        <f>1958*1.4544</f>
        <v>2847.7151999999996</v>
      </c>
      <c r="I87" s="12">
        <v>8137</v>
      </c>
      <c r="J87" s="9">
        <f>1678*1.4544</f>
        <v>2440.4831999999997</v>
      </c>
      <c r="K87" s="62">
        <v>36</v>
      </c>
      <c r="L87" s="11">
        <v>1170.7919999999999</v>
      </c>
      <c r="M87" s="10">
        <v>73</v>
      </c>
      <c r="N87" s="19">
        <v>1145.0782079999999</v>
      </c>
    </row>
    <row r="88" spans="1:14" ht="20.25" x14ac:dyDescent="0.25">
      <c r="A88" s="8"/>
      <c r="B88" s="9"/>
      <c r="C88" s="12">
        <v>900</v>
      </c>
      <c r="D88" s="14">
        <f>843.9*1.26</f>
        <v>1063.3140000000001</v>
      </c>
      <c r="E88" s="12"/>
      <c r="F88" s="14"/>
      <c r="G88" s="73" t="s">
        <v>73</v>
      </c>
      <c r="H88" s="9">
        <f>1445*1.4544</f>
        <v>2101.6079999999997</v>
      </c>
      <c r="I88" s="12">
        <v>8138</v>
      </c>
      <c r="J88" s="9">
        <f>1707*1.4544</f>
        <v>2482.6607999999997</v>
      </c>
      <c r="K88" s="62">
        <v>37</v>
      </c>
      <c r="L88" s="11">
        <v>1358.4096</v>
      </c>
      <c r="M88" s="10">
        <v>78</v>
      </c>
      <c r="N88" s="19">
        <v>1380</v>
      </c>
    </row>
    <row r="89" spans="1:14" ht="20.25" x14ac:dyDescent="0.25">
      <c r="A89" s="8"/>
      <c r="B89" s="9"/>
      <c r="C89" s="12" t="s">
        <v>70</v>
      </c>
      <c r="D89" s="14">
        <f>873*1.26</f>
        <v>1099.98</v>
      </c>
      <c r="E89" s="12"/>
      <c r="F89" s="14"/>
      <c r="G89" s="73">
        <v>8101</v>
      </c>
      <c r="H89" s="9">
        <f>1396*1.4544</f>
        <v>2030.3423999999998</v>
      </c>
      <c r="I89" s="12">
        <v>8139</v>
      </c>
      <c r="J89" s="9">
        <f>1180*1.4544</f>
        <v>1716.192</v>
      </c>
      <c r="K89" s="62">
        <v>38</v>
      </c>
      <c r="L89" s="11">
        <v>1071.252864</v>
      </c>
      <c r="M89" s="10">
        <v>77</v>
      </c>
      <c r="N89" s="19">
        <v>1295</v>
      </c>
    </row>
    <row r="90" spans="1:14" ht="21" thickBot="1" x14ac:dyDescent="0.3">
      <c r="A90" s="8"/>
      <c r="B90" s="9"/>
      <c r="C90" s="12">
        <v>415</v>
      </c>
      <c r="D90" s="14">
        <f>1384.3*1.26</f>
        <v>1744.2179999999998</v>
      </c>
      <c r="E90" s="12"/>
      <c r="F90" s="14"/>
      <c r="G90" s="83">
        <v>8102</v>
      </c>
      <c r="H90" s="9">
        <f>1422*1.4544</f>
        <v>2068.1567999999997</v>
      </c>
      <c r="I90" s="12">
        <v>8140</v>
      </c>
      <c r="J90" s="11">
        <f>1936*1.4544</f>
        <v>2815.7183999999997</v>
      </c>
      <c r="K90" s="62">
        <v>40</v>
      </c>
      <c r="L90" s="11">
        <v>1033.5548160000001</v>
      </c>
      <c r="M90" s="10">
        <v>79</v>
      </c>
      <c r="N90" s="19">
        <v>1110</v>
      </c>
    </row>
    <row r="91" spans="1:14" ht="21" thickBot="1" x14ac:dyDescent="0.3">
      <c r="A91" s="8"/>
      <c r="B91" s="9"/>
      <c r="C91" s="12"/>
      <c r="D91" s="27"/>
      <c r="E91" s="12"/>
      <c r="F91" s="14"/>
      <c r="G91" s="15"/>
      <c r="H91" s="9"/>
      <c r="I91" s="12">
        <v>8165</v>
      </c>
      <c r="J91" s="11">
        <f>1345*1.4544</f>
        <v>1956.1679999999999</v>
      </c>
      <c r="K91" s="10">
        <v>8151</v>
      </c>
      <c r="L91" s="19">
        <f>1074*1.4544</f>
        <v>1562.0255999999999</v>
      </c>
      <c r="M91" s="10">
        <v>81</v>
      </c>
      <c r="N91" s="19">
        <f>946*1.36</f>
        <v>1286.5600000000002</v>
      </c>
    </row>
    <row r="92" spans="1:14" ht="21" thickBot="1" x14ac:dyDescent="0.3">
      <c r="A92" s="8"/>
      <c r="B92" s="9"/>
      <c r="C92" s="12"/>
      <c r="D92" s="27"/>
      <c r="E92" s="12"/>
      <c r="F92" s="14"/>
      <c r="G92" s="15"/>
      <c r="H92" s="9"/>
      <c r="I92" s="12"/>
      <c r="J92" s="11"/>
      <c r="K92" s="10">
        <v>4950</v>
      </c>
      <c r="L92" s="19">
        <f>1429*1.4544</f>
        <v>2078.3375999999998</v>
      </c>
      <c r="M92" s="10">
        <v>82</v>
      </c>
      <c r="N92" s="19">
        <v>1295</v>
      </c>
    </row>
    <row r="93" spans="1:14" ht="21" thickBot="1" x14ac:dyDescent="0.3">
      <c r="A93" s="8"/>
      <c r="B93" s="9"/>
      <c r="C93" s="12"/>
      <c r="D93" s="27"/>
      <c r="E93" s="12"/>
      <c r="F93" s="14"/>
      <c r="G93" s="15"/>
      <c r="H93" s="9"/>
      <c r="I93" s="12"/>
      <c r="J93" s="11"/>
      <c r="K93" s="62">
        <v>8125</v>
      </c>
      <c r="L93" s="19">
        <v>1367</v>
      </c>
      <c r="M93" s="10">
        <v>83</v>
      </c>
      <c r="N93" s="19">
        <v>1380</v>
      </c>
    </row>
    <row r="94" spans="1:14" ht="21" thickBot="1" x14ac:dyDescent="0.3">
      <c r="A94" s="8"/>
      <c r="B94" s="9"/>
      <c r="C94" s="12"/>
      <c r="D94" s="27"/>
      <c r="E94" s="12"/>
      <c r="F94" s="14"/>
      <c r="G94" s="15"/>
      <c r="H94" s="9"/>
      <c r="I94" s="12"/>
      <c r="J94" s="11"/>
      <c r="K94" s="10">
        <v>41</v>
      </c>
      <c r="L94" s="42">
        <v>1217.3327999999999</v>
      </c>
      <c r="M94" s="10">
        <v>84</v>
      </c>
      <c r="N94" s="19">
        <v>1345</v>
      </c>
    </row>
    <row r="95" spans="1:14" ht="18" x14ac:dyDescent="0.25">
      <c r="A95" s="148" t="s">
        <v>0</v>
      </c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</row>
    <row r="96" spans="1:14" ht="26.25" x14ac:dyDescent="0.25">
      <c r="A96" s="141" t="s">
        <v>74</v>
      </c>
      <c r="B96" s="141"/>
      <c r="C96" s="142" t="s">
        <v>75</v>
      </c>
      <c r="D96" s="142"/>
      <c r="E96" s="142" t="s">
        <v>76</v>
      </c>
      <c r="F96" s="142"/>
      <c r="G96" s="142"/>
      <c r="H96" s="142"/>
      <c r="I96" s="142"/>
      <c r="J96" s="142"/>
      <c r="K96" s="142" t="s">
        <v>77</v>
      </c>
      <c r="L96" s="142"/>
      <c r="M96" s="143" t="s">
        <v>78</v>
      </c>
      <c r="N96" s="143"/>
    </row>
    <row r="97" spans="1:14" ht="20.25" x14ac:dyDescent="0.25">
      <c r="A97" s="3" t="s">
        <v>36</v>
      </c>
      <c r="B97" s="6" t="s">
        <v>10</v>
      </c>
      <c r="C97" s="5" t="s">
        <v>9</v>
      </c>
      <c r="D97" s="6" t="s">
        <v>10</v>
      </c>
      <c r="E97" s="5" t="s">
        <v>9</v>
      </c>
      <c r="F97" s="4" t="s">
        <v>10</v>
      </c>
      <c r="G97" s="5" t="s">
        <v>36</v>
      </c>
      <c r="H97" s="4" t="s">
        <v>10</v>
      </c>
      <c r="I97" s="5" t="s">
        <v>36</v>
      </c>
      <c r="J97" s="6" t="s">
        <v>10</v>
      </c>
      <c r="K97" s="28" t="s">
        <v>10</v>
      </c>
      <c r="L97" s="6" t="s">
        <v>10</v>
      </c>
      <c r="M97" s="7" t="s">
        <v>36</v>
      </c>
      <c r="N97" s="6" t="s">
        <v>10</v>
      </c>
    </row>
    <row r="98" spans="1:14" ht="20.25" x14ac:dyDescent="0.25">
      <c r="A98" s="8">
        <v>3105</v>
      </c>
      <c r="B98" s="14">
        <v>1192</v>
      </c>
      <c r="C98" s="12" t="s">
        <v>79</v>
      </c>
      <c r="D98" s="14">
        <v>1016</v>
      </c>
      <c r="E98" s="12">
        <v>590</v>
      </c>
      <c r="F98" s="9">
        <f>1195.93*1.348</f>
        <v>1612.1136400000003</v>
      </c>
      <c r="G98" s="12">
        <v>5250</v>
      </c>
      <c r="H98" s="9">
        <f>1098.03*1.348</f>
        <v>1480.14444</v>
      </c>
      <c r="I98" s="10">
        <v>5294</v>
      </c>
      <c r="J98" s="14">
        <f>1139.44*1.348</f>
        <v>1535.9651200000001</v>
      </c>
      <c r="K98" s="10">
        <v>1</v>
      </c>
      <c r="L98" s="13">
        <v>1135.45056398221</v>
      </c>
      <c r="M98" s="15">
        <v>130</v>
      </c>
      <c r="N98" s="14">
        <v>450</v>
      </c>
    </row>
    <row r="99" spans="1:14" ht="20.25" x14ac:dyDescent="0.25">
      <c r="A99" s="16">
        <v>3200</v>
      </c>
      <c r="B99" s="14">
        <v>988.13919204000001</v>
      </c>
      <c r="C99" s="12">
        <v>681</v>
      </c>
      <c r="D99" s="14">
        <v>1110</v>
      </c>
      <c r="E99" s="12">
        <v>901</v>
      </c>
      <c r="F99" s="9">
        <f>982.32*1.348</f>
        <v>1324.1673600000001</v>
      </c>
      <c r="G99" s="12">
        <v>5251</v>
      </c>
      <c r="H99" s="9">
        <f>1554.44*1.348</f>
        <v>2095.3851200000004</v>
      </c>
      <c r="I99" s="10">
        <v>5304</v>
      </c>
      <c r="J99" s="14">
        <f>1513.43*1.348</f>
        <v>2040.1036400000003</v>
      </c>
      <c r="K99" s="10">
        <v>2</v>
      </c>
      <c r="L99" s="13">
        <v>2316.3949735997599</v>
      </c>
      <c r="M99" s="15">
        <v>140</v>
      </c>
      <c r="N99" s="14">
        <v>500</v>
      </c>
    </row>
    <row r="100" spans="1:14" ht="20.25" x14ac:dyDescent="0.25">
      <c r="A100" s="8">
        <v>3207</v>
      </c>
      <c r="B100" s="14">
        <v>1191.60953604</v>
      </c>
      <c r="C100" s="10">
        <v>28</v>
      </c>
      <c r="D100" s="14">
        <v>1297.25526817474</v>
      </c>
      <c r="E100" s="12">
        <v>939</v>
      </c>
      <c r="F100" s="9">
        <f>927.53*1.348</f>
        <v>1250.31044</v>
      </c>
      <c r="G100" s="12">
        <v>5253</v>
      </c>
      <c r="H100" s="9">
        <f>1268.69*1.348</f>
        <v>1710.1941200000001</v>
      </c>
      <c r="I100" s="10">
        <v>5305</v>
      </c>
      <c r="J100" s="14">
        <f>1057.02*1.348</f>
        <v>1424.8629600000002</v>
      </c>
      <c r="K100" s="10">
        <v>3</v>
      </c>
      <c r="L100" s="13">
        <v>1137.15658319353</v>
      </c>
      <c r="M100" s="15">
        <v>160</v>
      </c>
      <c r="N100" s="14">
        <v>500</v>
      </c>
    </row>
    <row r="101" spans="1:14" ht="20.25" x14ac:dyDescent="0.25">
      <c r="A101" s="16">
        <v>3217</v>
      </c>
      <c r="B101" s="14">
        <v>1191.60953604</v>
      </c>
      <c r="C101" s="10">
        <v>60</v>
      </c>
      <c r="D101" s="13">
        <v>885.82941171883203</v>
      </c>
      <c r="E101" s="12">
        <v>5000</v>
      </c>
      <c r="F101" s="9">
        <f>995.1*1.348</f>
        <v>1341.3948</v>
      </c>
      <c r="G101" s="12">
        <v>5254</v>
      </c>
      <c r="H101" s="9">
        <f>1095.39*1.348</f>
        <v>1476.5857200000003</v>
      </c>
      <c r="I101" s="12">
        <v>5306</v>
      </c>
      <c r="J101" s="14">
        <f>1354.68*1.348</f>
        <v>1826.1086400000002</v>
      </c>
      <c r="K101" s="10">
        <v>4</v>
      </c>
      <c r="L101" s="13">
        <v>2179.9134366937201</v>
      </c>
      <c r="M101" s="15">
        <v>280</v>
      </c>
      <c r="N101" s="14">
        <v>550</v>
      </c>
    </row>
    <row r="102" spans="1:14" ht="20.25" x14ac:dyDescent="0.25">
      <c r="A102" s="16">
        <v>3222</v>
      </c>
      <c r="B102" s="14">
        <v>1191.60953604</v>
      </c>
      <c r="C102" s="12">
        <v>62</v>
      </c>
      <c r="D102" s="14">
        <v>1022.17102792146</v>
      </c>
      <c r="E102" s="12">
        <v>5035</v>
      </c>
      <c r="F102" s="9">
        <f>1186.67*1.348</f>
        <v>1599.6311600000001</v>
      </c>
      <c r="G102" s="12">
        <v>5257</v>
      </c>
      <c r="H102" s="9">
        <f>1091.42*1.348</f>
        <v>1471.2341600000002</v>
      </c>
      <c r="I102" s="12">
        <v>5313</v>
      </c>
      <c r="J102" s="9">
        <f>1124.49*1.348</f>
        <v>1515.8125200000002</v>
      </c>
      <c r="K102" s="10">
        <v>12</v>
      </c>
      <c r="L102" s="13">
        <v>1100</v>
      </c>
      <c r="M102" s="15">
        <v>300</v>
      </c>
      <c r="N102" s="14">
        <v>550</v>
      </c>
    </row>
    <row r="103" spans="1:14" ht="20.25" x14ac:dyDescent="0.25">
      <c r="A103" s="16">
        <v>3223</v>
      </c>
      <c r="B103" s="14">
        <v>1191.60953604</v>
      </c>
      <c r="C103" s="12">
        <v>63</v>
      </c>
      <c r="D103" s="13">
        <v>978.35440220649696</v>
      </c>
      <c r="E103" s="12">
        <v>5098</v>
      </c>
      <c r="F103" s="9">
        <f>1472.42*1.348</f>
        <v>1984.8221600000002</v>
      </c>
      <c r="G103" s="12">
        <v>5259</v>
      </c>
      <c r="H103" s="9">
        <f>1586.19*1.348</f>
        <v>2138.1841200000003</v>
      </c>
      <c r="I103" s="12">
        <v>5316</v>
      </c>
      <c r="J103" s="9">
        <f>1190.5*1.348</f>
        <v>1604.7940000000001</v>
      </c>
      <c r="K103" s="10">
        <v>13</v>
      </c>
      <c r="L103" s="13">
        <v>1307.9480620162301</v>
      </c>
      <c r="M103" s="15" t="s">
        <v>80</v>
      </c>
      <c r="N103" s="14">
        <v>950</v>
      </c>
    </row>
    <row r="104" spans="1:14" ht="20.25" x14ac:dyDescent="0.25">
      <c r="A104" s="8">
        <v>3300</v>
      </c>
      <c r="B104" s="14">
        <v>951</v>
      </c>
      <c r="C104" s="10">
        <v>65</v>
      </c>
      <c r="D104" s="14">
        <v>1055.8073250181401</v>
      </c>
      <c r="E104" s="12">
        <v>5105</v>
      </c>
      <c r="F104" s="9">
        <f>1718.49*1.348</f>
        <v>2316.5245199999999</v>
      </c>
      <c r="G104" s="12">
        <v>5260</v>
      </c>
      <c r="H104" s="9">
        <f>1759.5*1.348</f>
        <v>2371.806</v>
      </c>
      <c r="I104" s="12">
        <v>5317</v>
      </c>
      <c r="J104" s="9">
        <f>1586.19*1.348</f>
        <v>2138.1841200000003</v>
      </c>
      <c r="K104" s="10">
        <v>19</v>
      </c>
      <c r="L104" s="13">
        <v>2255.73651275263</v>
      </c>
      <c r="M104" s="15">
        <v>310</v>
      </c>
      <c r="N104" s="14">
        <v>500</v>
      </c>
    </row>
    <row r="105" spans="1:14" ht="20.25" x14ac:dyDescent="0.25">
      <c r="A105" s="8">
        <v>3307</v>
      </c>
      <c r="B105" s="14">
        <v>1192</v>
      </c>
      <c r="C105" s="10">
        <v>68</v>
      </c>
      <c r="D105" s="14">
        <v>906.97924078133497</v>
      </c>
      <c r="E105" s="12" t="s">
        <v>81</v>
      </c>
      <c r="F105" s="9">
        <f>1759.5*1.348</f>
        <v>2371.806</v>
      </c>
      <c r="G105" s="12">
        <v>5263</v>
      </c>
      <c r="H105" s="9">
        <f>1580.9*1.348</f>
        <v>2131.0532000000003</v>
      </c>
      <c r="I105" s="12">
        <v>5318</v>
      </c>
      <c r="J105" s="9">
        <f>1092.74*1.348</f>
        <v>1473.0135200000002</v>
      </c>
      <c r="K105" s="10">
        <v>20</v>
      </c>
      <c r="L105" s="13">
        <v>1514.5659442767701</v>
      </c>
      <c r="M105" s="15">
        <v>320</v>
      </c>
      <c r="N105" s="14">
        <v>890</v>
      </c>
    </row>
    <row r="106" spans="1:14" ht="20.25" x14ac:dyDescent="0.25">
      <c r="A106" s="16">
        <v>3310</v>
      </c>
      <c r="B106" s="14">
        <v>1192</v>
      </c>
      <c r="C106" s="10">
        <v>6800</v>
      </c>
      <c r="D106" s="14">
        <v>1031</v>
      </c>
      <c r="E106" s="12">
        <v>5109</v>
      </c>
      <c r="F106" s="9">
        <f>1296.47*1.348</f>
        <v>1747.6415600000003</v>
      </c>
      <c r="G106" s="12">
        <v>5265</v>
      </c>
      <c r="H106" s="9">
        <f>1453.9*1.348</f>
        <v>1959.8572000000001</v>
      </c>
      <c r="I106" s="12">
        <v>5324</v>
      </c>
      <c r="J106" s="9">
        <f>1057.02*1.348</f>
        <v>1424.8629600000002</v>
      </c>
      <c r="K106" s="10">
        <v>21</v>
      </c>
      <c r="L106" s="13">
        <v>1514.5659442767701</v>
      </c>
      <c r="M106" s="15">
        <v>330</v>
      </c>
      <c r="N106" s="14">
        <v>720</v>
      </c>
    </row>
    <row r="107" spans="1:14" ht="20.25" x14ac:dyDescent="0.25">
      <c r="A107" s="8">
        <v>3400</v>
      </c>
      <c r="B107" s="14">
        <v>921.149592639091</v>
      </c>
      <c r="C107" s="10">
        <v>6210</v>
      </c>
      <c r="D107" s="14">
        <v>1009</v>
      </c>
      <c r="E107" s="12">
        <v>5114</v>
      </c>
      <c r="F107" s="9">
        <f>1321.61*1.348</f>
        <v>1781.5302799999999</v>
      </c>
      <c r="G107" s="12">
        <v>5266</v>
      </c>
      <c r="H107" s="9">
        <f>1640.43*1.348</f>
        <v>2211.2996400000002</v>
      </c>
      <c r="I107" s="12">
        <v>6129</v>
      </c>
      <c r="J107" s="9">
        <f>1217.1*1.348</f>
        <v>1640.6507999999999</v>
      </c>
      <c r="K107" s="10">
        <v>22</v>
      </c>
      <c r="L107" s="13">
        <v>2085.1345916200798</v>
      </c>
      <c r="M107" s="15">
        <v>340</v>
      </c>
      <c r="N107" s="14">
        <v>710</v>
      </c>
    </row>
    <row r="108" spans="1:14" ht="20.25" x14ac:dyDescent="0.25">
      <c r="A108" s="16">
        <v>3401</v>
      </c>
      <c r="B108" s="14">
        <v>461.05730007986898</v>
      </c>
      <c r="C108" s="10">
        <v>5800</v>
      </c>
      <c r="D108" s="13">
        <v>1114</v>
      </c>
      <c r="E108" s="12">
        <v>5136</v>
      </c>
      <c r="F108" s="9">
        <f>1706.58*1.348</f>
        <v>2300.4698400000002</v>
      </c>
      <c r="G108" s="12">
        <v>5267</v>
      </c>
      <c r="H108" s="9">
        <f>1309.7*1.348</f>
        <v>1765.4756000000002</v>
      </c>
      <c r="I108" s="12">
        <v>6130</v>
      </c>
      <c r="J108" s="9">
        <f>1050.41*1.348</f>
        <v>1415.9526800000001</v>
      </c>
      <c r="K108" s="10">
        <v>25</v>
      </c>
      <c r="L108" s="13">
        <v>1137.155459328</v>
      </c>
      <c r="M108" s="15">
        <v>410</v>
      </c>
      <c r="N108" s="14">
        <v>720</v>
      </c>
    </row>
    <row r="109" spans="1:14" ht="20.25" x14ac:dyDescent="0.25">
      <c r="A109" s="8">
        <v>5050</v>
      </c>
      <c r="B109" s="14">
        <v>733</v>
      </c>
      <c r="C109" s="10">
        <v>585</v>
      </c>
      <c r="D109" s="13">
        <v>1253</v>
      </c>
      <c r="E109" s="12">
        <v>5144</v>
      </c>
      <c r="F109" s="9">
        <f>967.51*1.348</f>
        <v>1304.2034800000001</v>
      </c>
      <c r="G109" s="12">
        <v>5268</v>
      </c>
      <c r="H109" s="9">
        <f>1145.66*1.348</f>
        <v>1544.3496800000003</v>
      </c>
      <c r="I109" s="12">
        <v>5314</v>
      </c>
      <c r="J109" s="9">
        <f>1746.27*1.348</f>
        <v>2353.9719600000003</v>
      </c>
      <c r="K109" s="10">
        <v>26</v>
      </c>
      <c r="L109" s="13">
        <v>1514.5659442767701</v>
      </c>
      <c r="M109" s="17">
        <v>430</v>
      </c>
      <c r="N109" s="14">
        <v>620</v>
      </c>
    </row>
    <row r="110" spans="1:14" ht="20.25" x14ac:dyDescent="0.25">
      <c r="A110" s="8" t="s">
        <v>82</v>
      </c>
      <c r="B110" s="14">
        <v>1191</v>
      </c>
      <c r="C110" s="10">
        <v>540</v>
      </c>
      <c r="D110" s="13">
        <v>1083</v>
      </c>
      <c r="E110" s="12">
        <v>5145</v>
      </c>
      <c r="F110" s="9">
        <f>1321.61*1.348</f>
        <v>1781.5302799999999</v>
      </c>
      <c r="G110" s="12">
        <v>5269</v>
      </c>
      <c r="H110" s="9">
        <f>1850.78*1.348</f>
        <v>2494.8514399999999</v>
      </c>
      <c r="I110" s="12">
        <v>5320</v>
      </c>
      <c r="J110" s="9">
        <f>1190.51*1.348</f>
        <v>1604.8074800000002</v>
      </c>
      <c r="K110" s="10">
        <v>36</v>
      </c>
      <c r="L110" s="13">
        <v>2316.3949735997599</v>
      </c>
      <c r="M110" s="17">
        <v>431</v>
      </c>
      <c r="N110" s="14">
        <v>620</v>
      </c>
    </row>
    <row r="111" spans="1:14" ht="20.25" x14ac:dyDescent="0.25">
      <c r="A111" s="8" t="s">
        <v>83</v>
      </c>
      <c r="B111" s="14">
        <v>508</v>
      </c>
      <c r="C111" s="10">
        <v>640</v>
      </c>
      <c r="D111" s="13">
        <v>952</v>
      </c>
      <c r="E111" s="12" t="s">
        <v>84</v>
      </c>
      <c r="F111" s="9">
        <f>1361.3*1.348</f>
        <v>1835.0324000000001</v>
      </c>
      <c r="G111" s="12">
        <v>5270</v>
      </c>
      <c r="H111" s="9">
        <f>1145.66*1.348</f>
        <v>1544.3496800000003</v>
      </c>
      <c r="I111" s="10">
        <v>5325</v>
      </c>
      <c r="J111" s="14">
        <f>1137.72*1.348</f>
        <v>1533.6465600000001</v>
      </c>
      <c r="K111" s="10">
        <v>41</v>
      </c>
      <c r="L111" s="13">
        <v>1137.15658319353</v>
      </c>
      <c r="M111" s="15">
        <v>432</v>
      </c>
      <c r="N111" s="14">
        <v>550</v>
      </c>
    </row>
    <row r="112" spans="1:14" ht="26.25" x14ac:dyDescent="0.25">
      <c r="A112" s="16" t="s">
        <v>85</v>
      </c>
      <c r="B112" s="14">
        <v>555</v>
      </c>
      <c r="C112" s="142" t="s">
        <v>86</v>
      </c>
      <c r="D112" s="142"/>
      <c r="E112" s="12">
        <v>5153</v>
      </c>
      <c r="F112" s="9">
        <f>1013.37*1.348</f>
        <v>1366.0227600000001</v>
      </c>
      <c r="G112" s="12">
        <v>5272</v>
      </c>
      <c r="H112" s="9">
        <f>1527.99*1.348</f>
        <v>2059.7305200000001</v>
      </c>
      <c r="I112" s="10"/>
      <c r="J112" s="13"/>
      <c r="K112" s="10">
        <v>42</v>
      </c>
      <c r="L112" s="13">
        <v>1156.30190989841</v>
      </c>
      <c r="M112" s="15">
        <v>443</v>
      </c>
      <c r="N112" s="14">
        <v>790</v>
      </c>
    </row>
    <row r="113" spans="1:14" ht="26.25" x14ac:dyDescent="0.25">
      <c r="A113" s="141" t="s">
        <v>75</v>
      </c>
      <c r="B113" s="141"/>
      <c r="C113" s="5" t="s">
        <v>9</v>
      </c>
      <c r="D113" s="6" t="s">
        <v>10</v>
      </c>
      <c r="E113" s="12">
        <v>5154</v>
      </c>
      <c r="F113" s="9">
        <f>1080.83*1.348</f>
        <v>1456.95884</v>
      </c>
      <c r="G113" s="12">
        <v>5273</v>
      </c>
      <c r="H113" s="9">
        <f>1027.92*1.348</f>
        <v>1385.6361600000002</v>
      </c>
      <c r="I113" s="10"/>
      <c r="J113" s="13"/>
      <c r="K113" s="10">
        <v>44</v>
      </c>
      <c r="L113" s="13">
        <v>1300</v>
      </c>
      <c r="M113" s="15">
        <v>475</v>
      </c>
      <c r="N113" s="14">
        <v>700</v>
      </c>
    </row>
    <row r="114" spans="1:14" ht="20.25" x14ac:dyDescent="0.25">
      <c r="A114" s="3" t="s">
        <v>9</v>
      </c>
      <c r="B114" s="6" t="s">
        <v>10</v>
      </c>
      <c r="C114" s="12">
        <v>6323</v>
      </c>
      <c r="D114" s="14">
        <v>1656.3752554667799</v>
      </c>
      <c r="E114" s="12" t="s">
        <v>87</v>
      </c>
      <c r="F114" s="9">
        <f>1113.91*1.348</f>
        <v>1501.5506800000003</v>
      </c>
      <c r="G114" s="12">
        <v>5275</v>
      </c>
      <c r="H114" s="9">
        <f>1184.02*1.348</f>
        <v>1596.0589600000001</v>
      </c>
      <c r="I114" s="10"/>
      <c r="J114" s="13"/>
      <c r="K114" s="10">
        <v>45</v>
      </c>
      <c r="L114" s="13">
        <v>2316.3949735997599</v>
      </c>
      <c r="M114" s="15">
        <v>476</v>
      </c>
      <c r="N114" s="13">
        <v>700</v>
      </c>
    </row>
    <row r="115" spans="1:14" ht="20.25" x14ac:dyDescent="0.25">
      <c r="A115" s="8" t="s">
        <v>88</v>
      </c>
      <c r="B115" s="14">
        <v>878</v>
      </c>
      <c r="C115" s="10">
        <v>6324</v>
      </c>
      <c r="D115" s="13">
        <v>1569.04764385771</v>
      </c>
      <c r="E115" s="10">
        <v>5155</v>
      </c>
      <c r="F115" s="9">
        <f>1013.37*1.348</f>
        <v>1366.0227600000001</v>
      </c>
      <c r="G115" s="12">
        <v>5276</v>
      </c>
      <c r="H115" s="9">
        <f>1322.8*1.348</f>
        <v>1783.1344000000001</v>
      </c>
      <c r="I115" s="10"/>
      <c r="J115" s="13"/>
      <c r="K115" s="10">
        <v>51</v>
      </c>
      <c r="L115" s="13">
        <v>2316.3949735997599</v>
      </c>
      <c r="M115" s="15">
        <v>482</v>
      </c>
      <c r="N115" s="13">
        <v>790</v>
      </c>
    </row>
    <row r="116" spans="1:14" ht="20.25" x14ac:dyDescent="0.25">
      <c r="A116" s="8" t="s">
        <v>89</v>
      </c>
      <c r="B116" s="14">
        <v>1008</v>
      </c>
      <c r="C116" s="10">
        <v>6326</v>
      </c>
      <c r="D116" s="13">
        <v>1924.1757317966401</v>
      </c>
      <c r="E116" s="12" t="s">
        <v>90</v>
      </c>
      <c r="F116" s="9">
        <f>1059.01*1.348</f>
        <v>1427.54548</v>
      </c>
      <c r="G116" s="10">
        <v>5277</v>
      </c>
      <c r="H116" s="9">
        <f>1481.68*1.348</f>
        <v>1997.3046400000003</v>
      </c>
      <c r="I116" s="10"/>
      <c r="J116" s="13"/>
      <c r="K116" s="10">
        <v>52</v>
      </c>
      <c r="L116" s="13">
        <v>1135.45056398221</v>
      </c>
      <c r="M116" s="15">
        <v>484</v>
      </c>
      <c r="N116" s="13">
        <v>750</v>
      </c>
    </row>
    <row r="117" spans="1:14" ht="20.25" x14ac:dyDescent="0.25">
      <c r="A117" s="8" t="s">
        <v>91</v>
      </c>
      <c r="B117" s="14">
        <v>799</v>
      </c>
      <c r="C117" s="10">
        <v>6330</v>
      </c>
      <c r="D117" s="13">
        <v>1935.2501244976299</v>
      </c>
      <c r="E117" s="12">
        <v>5160</v>
      </c>
      <c r="F117" s="9">
        <f>1309.7*1.348</f>
        <v>1765.4756000000002</v>
      </c>
      <c r="G117" s="10">
        <v>5280</v>
      </c>
      <c r="H117" s="9">
        <f>1481.68*1.348</f>
        <v>1997.3046400000003</v>
      </c>
      <c r="I117" s="10"/>
      <c r="J117" s="13"/>
      <c r="K117" s="10">
        <v>55</v>
      </c>
      <c r="L117" s="13">
        <v>1307.9480620162301</v>
      </c>
      <c r="M117" s="15">
        <v>485</v>
      </c>
      <c r="N117" s="13">
        <v>750</v>
      </c>
    </row>
    <row r="118" spans="1:14" ht="20.25" x14ac:dyDescent="0.25">
      <c r="A118" s="16">
        <v>601</v>
      </c>
      <c r="B118" s="13">
        <v>969</v>
      </c>
      <c r="C118" s="10">
        <v>6334</v>
      </c>
      <c r="D118" s="13">
        <v>1245.86917886114</v>
      </c>
      <c r="E118" s="12">
        <v>5180</v>
      </c>
      <c r="F118" s="9">
        <f>1542.54*1.348</f>
        <v>2079.3439200000003</v>
      </c>
      <c r="G118" s="10">
        <v>5281</v>
      </c>
      <c r="H118" s="9">
        <f>1203.87*1.348</f>
        <v>1622.8167599999999</v>
      </c>
      <c r="I118" s="10"/>
      <c r="J118" s="13"/>
      <c r="K118" s="10">
        <v>56</v>
      </c>
      <c r="L118" s="13">
        <v>2316.3949735997599</v>
      </c>
      <c r="M118" s="17">
        <v>486</v>
      </c>
      <c r="N118" s="14">
        <v>790</v>
      </c>
    </row>
    <row r="119" spans="1:14" ht="20.25" x14ac:dyDescent="0.25">
      <c r="A119" s="8" t="s">
        <v>92</v>
      </c>
      <c r="B119" s="14">
        <v>842</v>
      </c>
      <c r="C119" s="10">
        <v>6342</v>
      </c>
      <c r="D119" s="13">
        <v>1692.3834131943199</v>
      </c>
      <c r="E119" s="12">
        <v>5207</v>
      </c>
      <c r="F119" s="9">
        <f>1256.78*1.348</f>
        <v>1694.1394400000001</v>
      </c>
      <c r="G119" s="10">
        <v>5282</v>
      </c>
      <c r="H119" s="9">
        <f>1203.87*1.348</f>
        <v>1622.8167599999999</v>
      </c>
      <c r="I119" s="10"/>
      <c r="J119" s="13"/>
      <c r="K119" s="10">
        <v>59</v>
      </c>
      <c r="L119" s="13">
        <v>1089.95671834686</v>
      </c>
      <c r="M119" s="17">
        <v>487</v>
      </c>
      <c r="N119" s="14">
        <v>750</v>
      </c>
    </row>
    <row r="120" spans="1:14" ht="20.25" x14ac:dyDescent="0.25">
      <c r="A120" s="8" t="s">
        <v>93</v>
      </c>
      <c r="B120" s="14">
        <v>835</v>
      </c>
      <c r="C120" s="12">
        <v>6343</v>
      </c>
      <c r="D120" s="14">
        <v>1796.8070706041699</v>
      </c>
      <c r="E120" s="10">
        <v>5208</v>
      </c>
      <c r="F120" s="9">
        <f>1321.61*1.348</f>
        <v>1781.5302799999999</v>
      </c>
      <c r="G120" s="10">
        <v>5283</v>
      </c>
      <c r="H120" s="9">
        <f>1177.41*1.348</f>
        <v>1587.1486800000002</v>
      </c>
      <c r="I120" s="12"/>
      <c r="J120" s="14"/>
      <c r="K120" s="10">
        <v>61</v>
      </c>
      <c r="L120" s="13">
        <v>1089.95671834686</v>
      </c>
      <c r="M120" s="17">
        <v>150</v>
      </c>
      <c r="N120" s="14">
        <v>550</v>
      </c>
    </row>
    <row r="121" spans="1:14" ht="20.25" x14ac:dyDescent="0.25">
      <c r="A121" s="8">
        <v>621</v>
      </c>
      <c r="B121" s="14">
        <v>900</v>
      </c>
      <c r="C121" s="12">
        <v>6346</v>
      </c>
      <c r="D121" s="14">
        <v>1838.8081100141801</v>
      </c>
      <c r="E121" s="12" t="s">
        <v>94</v>
      </c>
      <c r="F121" s="9">
        <f>1362.62*1.348</f>
        <v>1836.81176</v>
      </c>
      <c r="G121" s="10">
        <v>5284</v>
      </c>
      <c r="H121" s="9">
        <f>1586.19*1.348</f>
        <v>2138.1841200000003</v>
      </c>
      <c r="I121" s="10"/>
      <c r="J121" s="13"/>
      <c r="K121" s="10">
        <v>62</v>
      </c>
      <c r="L121" s="13">
        <v>2316.3949735997599</v>
      </c>
      <c r="M121" s="17">
        <v>120</v>
      </c>
      <c r="N121" s="14">
        <v>650</v>
      </c>
    </row>
    <row r="122" spans="1:14" ht="20.25" x14ac:dyDescent="0.25">
      <c r="A122" s="8" t="s">
        <v>95</v>
      </c>
      <c r="B122" s="14">
        <v>887</v>
      </c>
      <c r="C122" s="12">
        <v>6347</v>
      </c>
      <c r="D122" s="14">
        <v>1805.37523528664</v>
      </c>
      <c r="E122" s="12">
        <v>5215</v>
      </c>
      <c r="F122" s="9">
        <f>1137.72*1.348</f>
        <v>1533.6465600000001</v>
      </c>
      <c r="G122" s="10">
        <v>5286</v>
      </c>
      <c r="H122" s="9">
        <f>1057.02*1.348</f>
        <v>1424.8629600000002</v>
      </c>
      <c r="I122" s="10"/>
      <c r="J122" s="13"/>
      <c r="K122" s="10">
        <v>64</v>
      </c>
      <c r="L122" s="13">
        <v>1175.2576789131399</v>
      </c>
      <c r="M122" s="17"/>
      <c r="N122" s="14"/>
    </row>
    <row r="123" spans="1:14" ht="20.25" x14ac:dyDescent="0.25">
      <c r="A123" s="8">
        <v>6301</v>
      </c>
      <c r="B123" s="14">
        <v>950</v>
      </c>
      <c r="C123" s="12">
        <v>6350</v>
      </c>
      <c r="D123" s="14">
        <v>1381.5304894482299</v>
      </c>
      <c r="E123" s="12">
        <v>5220</v>
      </c>
      <c r="F123" s="9">
        <f>1243.56*1.348</f>
        <v>1676.31888</v>
      </c>
      <c r="G123" s="10">
        <v>5287</v>
      </c>
      <c r="H123" s="9">
        <f>1189.31*1.348</f>
        <v>1603.1898800000001</v>
      </c>
      <c r="I123" s="12"/>
      <c r="J123" s="14"/>
      <c r="K123" s="10">
        <v>67</v>
      </c>
      <c r="L123" s="13">
        <v>1135.45056398221</v>
      </c>
      <c r="M123" s="17"/>
      <c r="N123" s="14"/>
    </row>
    <row r="124" spans="1:14" ht="20.25" x14ac:dyDescent="0.25">
      <c r="A124" s="8">
        <v>638</v>
      </c>
      <c r="B124" s="14">
        <v>834</v>
      </c>
      <c r="C124" s="12">
        <v>6352</v>
      </c>
      <c r="D124" s="14">
        <v>1671.6437363765299</v>
      </c>
      <c r="E124" s="12">
        <v>5236</v>
      </c>
      <c r="F124" s="9">
        <f>1785.96*1.348</f>
        <v>2407.4740800000004</v>
      </c>
      <c r="G124" s="10">
        <v>5288</v>
      </c>
      <c r="H124" s="9">
        <f>1132.03*1.348</f>
        <v>1525.9764400000001</v>
      </c>
      <c r="I124" s="12"/>
      <c r="J124" s="14"/>
      <c r="K124" s="10">
        <v>69</v>
      </c>
      <c r="L124" s="13">
        <v>945.89287383492695</v>
      </c>
      <c r="M124" s="17"/>
      <c r="N124" s="14"/>
    </row>
    <row r="125" spans="1:14" ht="20.25" x14ac:dyDescent="0.25">
      <c r="A125" s="8" t="s">
        <v>96</v>
      </c>
      <c r="B125" s="14">
        <v>899</v>
      </c>
      <c r="C125" s="12">
        <v>6356</v>
      </c>
      <c r="D125" s="14">
        <v>1591.9439507669999</v>
      </c>
      <c r="E125" s="12">
        <v>5248</v>
      </c>
      <c r="F125" s="9">
        <f>1481.68*1.348</f>
        <v>1997.3046400000003</v>
      </c>
      <c r="G125" s="10">
        <v>5291</v>
      </c>
      <c r="H125" s="9">
        <f>1190.51*1.348</f>
        <v>1604.8074800000002</v>
      </c>
      <c r="I125" s="12"/>
      <c r="J125" s="14"/>
      <c r="K125" s="18"/>
      <c r="L125" s="19"/>
      <c r="M125" s="17"/>
      <c r="N125" s="14"/>
    </row>
    <row r="126" spans="1:14" ht="20.25" x14ac:dyDescent="0.25">
      <c r="A126" s="8">
        <v>654</v>
      </c>
      <c r="B126" s="14">
        <v>902</v>
      </c>
      <c r="C126" s="18"/>
      <c r="D126" s="19"/>
      <c r="E126" s="12">
        <v>5249</v>
      </c>
      <c r="F126" s="9">
        <f>1713.2*1.348</f>
        <v>2309.3936000000003</v>
      </c>
      <c r="G126" s="12">
        <v>5292</v>
      </c>
      <c r="H126" s="9">
        <f>1027.92*1.348</f>
        <v>1385.6361600000002</v>
      </c>
      <c r="I126" s="12"/>
      <c r="J126" s="14"/>
      <c r="K126" s="18"/>
      <c r="L126" s="19"/>
      <c r="M126" s="17"/>
      <c r="N126" s="14"/>
    </row>
    <row r="127" spans="1:14" ht="26.25" x14ac:dyDescent="0.25">
      <c r="A127" s="141" t="s">
        <v>97</v>
      </c>
      <c r="B127" s="141"/>
      <c r="C127" s="141"/>
      <c r="D127" s="141"/>
      <c r="E127" s="141"/>
      <c r="F127" s="141"/>
      <c r="G127" s="141"/>
      <c r="H127" s="141"/>
      <c r="I127" s="141"/>
      <c r="J127" s="141"/>
      <c r="K127" s="141" t="s">
        <v>98</v>
      </c>
      <c r="L127" s="141"/>
      <c r="M127" s="141"/>
      <c r="N127" s="141"/>
    </row>
    <row r="128" spans="1:14" ht="20.25" x14ac:dyDescent="0.25">
      <c r="A128" s="3" t="s">
        <v>36</v>
      </c>
      <c r="B128" s="4" t="s">
        <v>10</v>
      </c>
      <c r="C128" s="5" t="s">
        <v>36</v>
      </c>
      <c r="D128" s="4" t="s">
        <v>10</v>
      </c>
      <c r="E128" s="5" t="s">
        <v>9</v>
      </c>
      <c r="F128" s="4" t="s">
        <v>10</v>
      </c>
      <c r="G128" s="5" t="s">
        <v>36</v>
      </c>
      <c r="H128" s="4" t="s">
        <v>10</v>
      </c>
      <c r="I128" s="5" t="s">
        <v>36</v>
      </c>
      <c r="J128" s="6" t="s">
        <v>10</v>
      </c>
      <c r="K128" s="5" t="s">
        <v>36</v>
      </c>
      <c r="L128" s="6" t="s">
        <v>10</v>
      </c>
      <c r="M128" s="7" t="s">
        <v>9</v>
      </c>
      <c r="N128" s="6" t="s">
        <v>10</v>
      </c>
    </row>
    <row r="129" spans="1:14" ht="20.25" x14ac:dyDescent="0.25">
      <c r="A129" s="29" t="s">
        <v>99</v>
      </c>
      <c r="B129" s="9">
        <f>955.37*1.348</f>
        <v>1287.8387600000001</v>
      </c>
      <c r="C129" s="30" t="s">
        <v>100</v>
      </c>
      <c r="D129" s="9">
        <f>1061.81*1.348</f>
        <v>1431.31988</v>
      </c>
      <c r="E129" s="30" t="s">
        <v>101</v>
      </c>
      <c r="F129" s="9">
        <f>1061.81*1.348</f>
        <v>1431.31988</v>
      </c>
      <c r="G129" s="30" t="s">
        <v>102</v>
      </c>
      <c r="H129" s="9">
        <f>1061.81*1.348</f>
        <v>1431.31988</v>
      </c>
      <c r="I129" s="30" t="s">
        <v>103</v>
      </c>
      <c r="J129" s="11">
        <f>1061.81*1.348</f>
        <v>1431.31988</v>
      </c>
      <c r="K129" s="10">
        <v>290</v>
      </c>
      <c r="L129" s="9">
        <v>1512.1742999999999</v>
      </c>
      <c r="M129" s="10">
        <v>1090</v>
      </c>
      <c r="N129" s="11">
        <v>1386.5775000000001</v>
      </c>
    </row>
    <row r="130" spans="1:14" ht="20.25" x14ac:dyDescent="0.25">
      <c r="A130" s="29" t="s">
        <v>104</v>
      </c>
      <c r="B130" s="9">
        <f>996.31*1.348</f>
        <v>1343.0258799999999</v>
      </c>
      <c r="C130" s="30" t="s">
        <v>105</v>
      </c>
      <c r="D130" s="9">
        <f>1061.81*1.348</f>
        <v>1431.31988</v>
      </c>
      <c r="E130" s="30" t="s">
        <v>106</v>
      </c>
      <c r="F130" s="9">
        <f t="shared" ref="F130:F141" si="0">1061.81*1.348</f>
        <v>1431.31988</v>
      </c>
      <c r="G130" s="30" t="s">
        <v>107</v>
      </c>
      <c r="H130" s="9">
        <f>1061.81*1.348</f>
        <v>1431.31988</v>
      </c>
      <c r="I130" s="30" t="s">
        <v>108</v>
      </c>
      <c r="J130" s="11">
        <f>1061.81*1.348</f>
        <v>1431.31988</v>
      </c>
      <c r="K130" s="12">
        <v>299</v>
      </c>
      <c r="L130" s="9">
        <v>1456.3878</v>
      </c>
      <c r="M130" s="10">
        <v>1095</v>
      </c>
      <c r="N130" s="11">
        <v>1170.1641</v>
      </c>
    </row>
    <row r="131" spans="1:14" ht="20.25" x14ac:dyDescent="0.25">
      <c r="A131" s="30" t="s">
        <v>109</v>
      </c>
      <c r="B131" s="9">
        <f>872.75*1.348</f>
        <v>1176.4670000000001</v>
      </c>
      <c r="C131" s="30" t="s">
        <v>110</v>
      </c>
      <c r="D131" s="9">
        <f>1128.17*1.348</f>
        <v>1520.7731600000002</v>
      </c>
      <c r="E131" s="30" t="s">
        <v>111</v>
      </c>
      <c r="F131" s="9">
        <f t="shared" si="0"/>
        <v>1431.31988</v>
      </c>
      <c r="G131" s="30" t="s">
        <v>112</v>
      </c>
      <c r="H131" s="9">
        <f>1128.17*1.348</f>
        <v>1520.7731600000002</v>
      </c>
      <c r="I131" s="30" t="s">
        <v>113</v>
      </c>
      <c r="J131" s="11">
        <f>1061.81*1.348</f>
        <v>1431.31988</v>
      </c>
      <c r="K131" s="12">
        <v>711</v>
      </c>
      <c r="L131" s="9">
        <v>1802.2788</v>
      </c>
      <c r="M131" s="10">
        <v>1300</v>
      </c>
      <c r="N131" s="11">
        <v>995.26350000000002</v>
      </c>
    </row>
    <row r="132" spans="1:14" ht="20.25" x14ac:dyDescent="0.25">
      <c r="A132" s="30" t="s">
        <v>114</v>
      </c>
      <c r="B132" s="9">
        <f>917.87*1.348</f>
        <v>1237.2887600000001</v>
      </c>
      <c r="C132" s="30" t="s">
        <v>115</v>
      </c>
      <c r="D132" s="9">
        <f>1061.81*1.348</f>
        <v>1431.31988</v>
      </c>
      <c r="E132" s="30" t="s">
        <v>116</v>
      </c>
      <c r="F132" s="9">
        <f t="shared" si="0"/>
        <v>1431.31988</v>
      </c>
      <c r="G132" s="30" t="s">
        <v>117</v>
      </c>
      <c r="H132" s="9">
        <f>1061.81*1.348</f>
        <v>1431.31988</v>
      </c>
      <c r="I132" s="30" t="s">
        <v>118</v>
      </c>
      <c r="J132" s="11">
        <f>1061.81*1.348</f>
        <v>1431.31988</v>
      </c>
      <c r="K132" s="10">
        <v>762</v>
      </c>
      <c r="L132" s="11">
        <v>1862.4018000000001</v>
      </c>
      <c r="M132" s="10">
        <v>3015</v>
      </c>
      <c r="N132" s="11">
        <v>1212.4413</v>
      </c>
    </row>
    <row r="133" spans="1:14" ht="20.25" x14ac:dyDescent="0.25">
      <c r="A133" s="30" t="s">
        <v>119</v>
      </c>
      <c r="B133" s="9">
        <f>955.37*1.348</f>
        <v>1287.8387600000001</v>
      </c>
      <c r="C133" s="30" t="s">
        <v>120</v>
      </c>
      <c r="D133" s="9">
        <f>1061.81*1.348</f>
        <v>1431.31988</v>
      </c>
      <c r="E133" s="30" t="s">
        <v>121</v>
      </c>
      <c r="F133" s="9">
        <f t="shared" si="0"/>
        <v>1431.31988</v>
      </c>
      <c r="G133" s="30" t="s">
        <v>122</v>
      </c>
      <c r="H133" s="9">
        <f>1061.81*1.348</f>
        <v>1431.31988</v>
      </c>
      <c r="I133" s="30" t="s">
        <v>123</v>
      </c>
      <c r="J133" s="9">
        <f>1128.17*1.348</f>
        <v>1520.7731600000002</v>
      </c>
      <c r="K133" s="12">
        <v>866</v>
      </c>
      <c r="L133" s="9">
        <v>1915.557</v>
      </c>
      <c r="M133" s="10">
        <v>3100</v>
      </c>
      <c r="N133" s="11">
        <v>1588.2909</v>
      </c>
    </row>
    <row r="134" spans="1:14" ht="20.25" x14ac:dyDescent="0.25">
      <c r="A134" s="30" t="s">
        <v>124</v>
      </c>
      <c r="B134" s="9">
        <f>1061.81*1.348</f>
        <v>1431.31988</v>
      </c>
      <c r="C134" s="30" t="s">
        <v>125</v>
      </c>
      <c r="D134" s="9">
        <f>955.37*1.348</f>
        <v>1287.8387600000001</v>
      </c>
      <c r="E134" s="30" t="s">
        <v>126</v>
      </c>
      <c r="F134" s="9">
        <f>1128.17*1.348</f>
        <v>1520.7731600000002</v>
      </c>
      <c r="G134" s="30" t="s">
        <v>127</v>
      </c>
      <c r="H134" s="9">
        <f>1128.17*1.348</f>
        <v>1520.7731600000002</v>
      </c>
      <c r="I134" s="30" t="s">
        <v>128</v>
      </c>
      <c r="J134" s="11">
        <f>1061.81*1.348</f>
        <v>1431.31988</v>
      </c>
      <c r="K134" s="10">
        <v>905</v>
      </c>
      <c r="L134" s="11">
        <v>1637.5653</v>
      </c>
      <c r="M134" s="10">
        <v>3210</v>
      </c>
      <c r="N134" s="11">
        <v>1314.4151999999999</v>
      </c>
    </row>
    <row r="135" spans="1:14" ht="20.25" x14ac:dyDescent="0.25">
      <c r="A135" s="30" t="s">
        <v>129</v>
      </c>
      <c r="B135" s="9">
        <f>1061.81*1.348</f>
        <v>1431.31988</v>
      </c>
      <c r="C135" s="30" t="s">
        <v>130</v>
      </c>
      <c r="D135" s="9">
        <f>996.31*1.348</f>
        <v>1343.0258799999999</v>
      </c>
      <c r="E135" s="30" t="s">
        <v>131</v>
      </c>
      <c r="F135" s="9">
        <f t="shared" si="0"/>
        <v>1431.31988</v>
      </c>
      <c r="G135" s="30" t="s">
        <v>132</v>
      </c>
      <c r="H135" s="9">
        <f>1061.81*1.348</f>
        <v>1431.31988</v>
      </c>
      <c r="I135" s="30" t="s">
        <v>133</v>
      </c>
      <c r="J135" s="13">
        <f>955.36*1.348</f>
        <v>1287.82528</v>
      </c>
      <c r="K135" s="12">
        <v>915</v>
      </c>
      <c r="L135" s="9">
        <v>1599.4922999999999</v>
      </c>
      <c r="M135" s="12">
        <v>3660</v>
      </c>
      <c r="N135" s="9">
        <v>1718.4447</v>
      </c>
    </row>
    <row r="136" spans="1:14" ht="20.25" x14ac:dyDescent="0.25">
      <c r="A136" s="30" t="s">
        <v>134</v>
      </c>
      <c r="B136" s="9">
        <f>1061.81*1.348</f>
        <v>1431.31988</v>
      </c>
      <c r="C136" s="84" t="s">
        <v>135</v>
      </c>
      <c r="D136" s="9">
        <v>1290.05454689921</v>
      </c>
      <c r="E136" s="30" t="s">
        <v>136</v>
      </c>
      <c r="F136" s="9">
        <f t="shared" si="0"/>
        <v>1431.31988</v>
      </c>
      <c r="G136" s="30" t="s">
        <v>137</v>
      </c>
      <c r="H136" s="9">
        <f>1061.81*1.348</f>
        <v>1431.31988</v>
      </c>
      <c r="I136" s="30" t="s">
        <v>138</v>
      </c>
      <c r="J136" s="13">
        <f>996.31*1.348</f>
        <v>1343.0258799999999</v>
      </c>
      <c r="K136" s="12">
        <v>930</v>
      </c>
      <c r="L136" s="9">
        <v>1832.8548000000001</v>
      </c>
      <c r="M136" s="12">
        <v>3700</v>
      </c>
      <c r="N136" s="9">
        <v>1635.4779000000001</v>
      </c>
    </row>
    <row r="137" spans="1:14" ht="20.25" x14ac:dyDescent="0.25">
      <c r="A137" s="30" t="s">
        <v>139</v>
      </c>
      <c r="B137" s="9">
        <f>1061.81*1.348</f>
        <v>1431.31988</v>
      </c>
      <c r="C137" s="30" t="s">
        <v>140</v>
      </c>
      <c r="D137" s="9">
        <v>1370.6732030370899</v>
      </c>
      <c r="E137" s="30" t="s">
        <v>141</v>
      </c>
      <c r="F137" s="9">
        <f>1128.17*1.348</f>
        <v>1520.7731600000002</v>
      </c>
      <c r="G137" s="30" t="s">
        <v>142</v>
      </c>
      <c r="H137" s="9">
        <f>1128.17*1.348</f>
        <v>1520.7731600000002</v>
      </c>
      <c r="I137" s="30" t="s">
        <v>143</v>
      </c>
      <c r="J137" s="13">
        <f>955.36*1.348</f>
        <v>1287.82528</v>
      </c>
      <c r="K137" s="10">
        <v>960</v>
      </c>
      <c r="L137" s="11">
        <v>1880.4828</v>
      </c>
      <c r="M137" s="12">
        <v>3790</v>
      </c>
      <c r="N137" s="9">
        <v>1241.9148</v>
      </c>
    </row>
    <row r="138" spans="1:14" ht="20.25" x14ac:dyDescent="0.25">
      <c r="A138" s="30" t="s">
        <v>144</v>
      </c>
      <c r="B138" s="9">
        <f>1061.81*1.348</f>
        <v>1431.31988</v>
      </c>
      <c r="C138" s="30" t="s">
        <v>145</v>
      </c>
      <c r="D138" s="9">
        <f>1061.81*1.348</f>
        <v>1431.31988</v>
      </c>
      <c r="E138" s="30" t="s">
        <v>146</v>
      </c>
      <c r="F138" s="9">
        <f t="shared" si="0"/>
        <v>1431.31988</v>
      </c>
      <c r="G138" s="30" t="s">
        <v>147</v>
      </c>
      <c r="H138" s="9">
        <f>955.37*1.348</f>
        <v>1287.8387600000001</v>
      </c>
      <c r="I138" s="30" t="s">
        <v>148</v>
      </c>
      <c r="J138" s="13">
        <f>996.31*1.348</f>
        <v>1343.0258799999999</v>
      </c>
      <c r="K138" s="10">
        <v>1011</v>
      </c>
      <c r="L138" s="11">
        <v>1157.8749</v>
      </c>
      <c r="M138" s="12">
        <v>4040</v>
      </c>
      <c r="N138" s="9">
        <v>1615.5594000000001</v>
      </c>
    </row>
    <row r="139" spans="1:14" ht="20.25" x14ac:dyDescent="0.25">
      <c r="A139" s="30" t="s">
        <v>149</v>
      </c>
      <c r="B139" s="9">
        <f>1128.17*1.348</f>
        <v>1520.7731600000002</v>
      </c>
      <c r="C139" s="30" t="s">
        <v>150</v>
      </c>
      <c r="D139" s="9">
        <f>1128.17*1.348</f>
        <v>1520.7731600000002</v>
      </c>
      <c r="E139" s="30" t="s">
        <v>151</v>
      </c>
      <c r="F139" s="9">
        <f t="shared" si="0"/>
        <v>1431.31988</v>
      </c>
      <c r="G139" s="30" t="s">
        <v>152</v>
      </c>
      <c r="H139" s="9">
        <f>1061.81*1.348</f>
        <v>1431.31988</v>
      </c>
      <c r="I139" s="30" t="s">
        <v>153</v>
      </c>
      <c r="J139" s="13">
        <f>638.43*1.348</f>
        <v>860.60364000000004</v>
      </c>
      <c r="K139" s="10">
        <v>1040</v>
      </c>
      <c r="L139" s="11">
        <v>1469.6472000000001</v>
      </c>
      <c r="M139" s="10"/>
      <c r="N139" s="11"/>
    </row>
    <row r="140" spans="1:14" ht="20.25" x14ac:dyDescent="0.25">
      <c r="A140" s="30" t="s">
        <v>154</v>
      </c>
      <c r="B140" s="9">
        <f>1061.81*1.348</f>
        <v>1431.31988</v>
      </c>
      <c r="C140" s="30" t="s">
        <v>155</v>
      </c>
      <c r="D140" s="9">
        <f>1061.81*1.348</f>
        <v>1431.31988</v>
      </c>
      <c r="E140" s="30" t="s">
        <v>156</v>
      </c>
      <c r="F140" s="9">
        <f>1128.17*1.348</f>
        <v>1520.7731600000002</v>
      </c>
      <c r="G140" s="30" t="s">
        <v>157</v>
      </c>
      <c r="H140" s="9">
        <f>1061.81*1.348</f>
        <v>1431.31988</v>
      </c>
      <c r="I140" s="30" t="s">
        <v>158</v>
      </c>
      <c r="J140" s="13">
        <f>689.85*1.348</f>
        <v>929.91780000000006</v>
      </c>
      <c r="K140" s="10">
        <v>1060</v>
      </c>
      <c r="L140" s="11">
        <v>1020.2976</v>
      </c>
      <c r="M140" s="10"/>
      <c r="N140" s="11"/>
    </row>
    <row r="141" spans="1:14" ht="20.25" x14ac:dyDescent="0.25">
      <c r="A141" s="84" t="s">
        <v>159</v>
      </c>
      <c r="B141" s="9">
        <f>1061.81*1.348</f>
        <v>1431.31988</v>
      </c>
      <c r="C141" s="30" t="s">
        <v>160</v>
      </c>
      <c r="D141" s="9">
        <f>1061.81*1.348</f>
        <v>1431.31988</v>
      </c>
      <c r="E141" s="30" t="s">
        <v>161</v>
      </c>
      <c r="F141" s="9">
        <f t="shared" si="0"/>
        <v>1431.31988</v>
      </c>
      <c r="G141" s="30" t="s">
        <v>162</v>
      </c>
      <c r="H141" s="9">
        <f>1128.17*1.348</f>
        <v>1520.7731600000002</v>
      </c>
      <c r="I141" s="30" t="s">
        <v>163</v>
      </c>
      <c r="J141" s="13">
        <f t="shared" ref="J141:J148" si="1">689.85*1.348</f>
        <v>929.91780000000006</v>
      </c>
      <c r="K141" s="12"/>
      <c r="L141" s="9"/>
      <c r="M141" s="10"/>
      <c r="N141" s="11"/>
    </row>
    <row r="142" spans="1:14" ht="20.25" x14ac:dyDescent="0.25">
      <c r="A142" s="30" t="s">
        <v>164</v>
      </c>
      <c r="B142" s="9">
        <f>1061.81*1.348</f>
        <v>1431.31988</v>
      </c>
      <c r="C142" s="30" t="s">
        <v>165</v>
      </c>
      <c r="D142" s="9">
        <f>1061.81*1.348</f>
        <v>1431.31988</v>
      </c>
      <c r="E142" s="30" t="s">
        <v>166</v>
      </c>
      <c r="F142" s="9">
        <f>1061.81*1.348</f>
        <v>1431.31988</v>
      </c>
      <c r="G142" s="30" t="s">
        <v>167</v>
      </c>
      <c r="H142" s="9">
        <f>1061.81*1.348</f>
        <v>1431.31988</v>
      </c>
      <c r="I142" s="30" t="s">
        <v>168</v>
      </c>
      <c r="J142" s="13">
        <f t="shared" si="1"/>
        <v>929.91780000000006</v>
      </c>
      <c r="K142" s="12"/>
      <c r="L142" s="9"/>
      <c r="M142" s="10"/>
      <c r="N142" s="11"/>
    </row>
    <row r="143" spans="1:14" ht="20.25" x14ac:dyDescent="0.25">
      <c r="A143" s="30" t="s">
        <v>169</v>
      </c>
      <c r="B143" s="9">
        <f>1061.81*1.348</f>
        <v>1431.31988</v>
      </c>
      <c r="C143" s="30" t="s">
        <v>170</v>
      </c>
      <c r="D143" s="9">
        <f>1061.81*1.348</f>
        <v>1431.31988</v>
      </c>
      <c r="E143" s="30" t="s">
        <v>171</v>
      </c>
      <c r="F143" s="9">
        <f>1128.17*1.348</f>
        <v>1520.7731600000002</v>
      </c>
      <c r="G143" s="30" t="s">
        <v>172</v>
      </c>
      <c r="H143" s="9">
        <f>955.36*1.348</f>
        <v>1287.82528</v>
      </c>
      <c r="I143" s="30" t="s">
        <v>173</v>
      </c>
      <c r="J143" s="13">
        <f t="shared" si="1"/>
        <v>929.91780000000006</v>
      </c>
      <c r="K143" s="12"/>
      <c r="L143" s="9"/>
      <c r="M143" s="10"/>
      <c r="N143" s="11"/>
    </row>
    <row r="144" spans="1:14" ht="20.25" x14ac:dyDescent="0.25">
      <c r="A144" s="30" t="s">
        <v>174</v>
      </c>
      <c r="B144" s="9">
        <f>1128.17*1.348</f>
        <v>1520.7731600000002</v>
      </c>
      <c r="C144" s="30" t="s">
        <v>175</v>
      </c>
      <c r="D144" s="9">
        <f>1128.17*1.348</f>
        <v>1520.7731600000002</v>
      </c>
      <c r="E144" s="30" t="s">
        <v>176</v>
      </c>
      <c r="F144" s="9">
        <f t="shared" ref="F144:F148" si="2">1061.81*1.348</f>
        <v>1431.31988</v>
      </c>
      <c r="G144" s="30" t="s">
        <v>177</v>
      </c>
      <c r="H144" s="9">
        <f>966.31*1.348</f>
        <v>1302.5858800000001</v>
      </c>
      <c r="I144" s="30" t="s">
        <v>178</v>
      </c>
      <c r="J144" s="13">
        <f t="shared" si="1"/>
        <v>929.91780000000006</v>
      </c>
      <c r="K144" s="10"/>
      <c r="L144" s="31"/>
      <c r="M144" s="10"/>
      <c r="N144" s="11"/>
    </row>
    <row r="145" spans="1:14" ht="20.25" x14ac:dyDescent="0.25">
      <c r="A145" s="30" t="s">
        <v>179</v>
      </c>
      <c r="B145" s="9">
        <f>1061.81*1.348</f>
        <v>1431.31988</v>
      </c>
      <c r="C145" s="30" t="s">
        <v>180</v>
      </c>
      <c r="D145" s="9">
        <f>1061.81*1.348</f>
        <v>1431.31988</v>
      </c>
      <c r="E145" s="30" t="s">
        <v>181</v>
      </c>
      <c r="F145" s="9">
        <f>1128.17*1.348</f>
        <v>1520.7731600000002</v>
      </c>
      <c r="G145" s="30" t="s">
        <v>182</v>
      </c>
      <c r="H145" s="9">
        <f>1073.32*1.348</f>
        <v>1446.83536</v>
      </c>
      <c r="I145" s="30" t="s">
        <v>183</v>
      </c>
      <c r="J145" s="13">
        <f t="shared" si="1"/>
        <v>929.91780000000006</v>
      </c>
      <c r="K145" s="18"/>
      <c r="L145" s="32"/>
      <c r="M145" s="10"/>
      <c r="N145" s="11"/>
    </row>
    <row r="146" spans="1:14" ht="20.25" x14ac:dyDescent="0.25">
      <c r="A146" s="30" t="s">
        <v>184</v>
      </c>
      <c r="B146" s="9">
        <f>1128.17*1.348</f>
        <v>1520.7731600000002</v>
      </c>
      <c r="C146" s="30" t="s">
        <v>185</v>
      </c>
      <c r="D146" s="9">
        <f>1061.81*1.348</f>
        <v>1431.31988</v>
      </c>
      <c r="E146" s="30" t="s">
        <v>186</v>
      </c>
      <c r="F146" s="9">
        <f t="shared" si="2"/>
        <v>1431.31988</v>
      </c>
      <c r="G146" s="30" t="s">
        <v>187</v>
      </c>
      <c r="H146" s="9">
        <f>955.36*1.348</f>
        <v>1287.82528</v>
      </c>
      <c r="I146" s="30" t="s">
        <v>188</v>
      </c>
      <c r="J146" s="13">
        <f t="shared" si="1"/>
        <v>929.91780000000006</v>
      </c>
      <c r="K146" s="18"/>
      <c r="L146" s="32"/>
      <c r="M146" s="10"/>
      <c r="N146" s="11"/>
    </row>
    <row r="147" spans="1:14" ht="20.25" x14ac:dyDescent="0.25">
      <c r="A147" s="30" t="s">
        <v>189</v>
      </c>
      <c r="B147" s="9">
        <f>1061.81*1.348</f>
        <v>1431.31988</v>
      </c>
      <c r="C147" s="30" t="s">
        <v>190</v>
      </c>
      <c r="D147" s="9">
        <f>1128.17*1.348</f>
        <v>1520.7731600000002</v>
      </c>
      <c r="E147" s="30" t="s">
        <v>191</v>
      </c>
      <c r="F147" s="9">
        <f t="shared" si="2"/>
        <v>1431.31988</v>
      </c>
      <c r="G147" s="30" t="s">
        <v>192</v>
      </c>
      <c r="H147" s="9">
        <f>1061.81*1.348</f>
        <v>1431.31988</v>
      </c>
      <c r="I147" s="30" t="s">
        <v>193</v>
      </c>
      <c r="J147" s="13">
        <f t="shared" si="1"/>
        <v>929.91780000000006</v>
      </c>
      <c r="K147" s="12"/>
      <c r="L147" s="9"/>
      <c r="M147" s="12"/>
      <c r="N147" s="9"/>
    </row>
    <row r="148" spans="1:14" ht="20.25" x14ac:dyDescent="0.25">
      <c r="A148" s="30" t="s">
        <v>194</v>
      </c>
      <c r="B148" s="9">
        <f>1061.81*1.348</f>
        <v>1431.31988</v>
      </c>
      <c r="C148" s="12" t="s">
        <v>195</v>
      </c>
      <c r="D148" s="9">
        <f>1061.81*1.348</f>
        <v>1431.31988</v>
      </c>
      <c r="E148" s="30" t="s">
        <v>196</v>
      </c>
      <c r="F148" s="9">
        <f t="shared" si="2"/>
        <v>1431.31988</v>
      </c>
      <c r="G148" s="30" t="s">
        <v>197</v>
      </c>
      <c r="H148" s="11">
        <f>1061.81*1.348</f>
        <v>1431.31988</v>
      </c>
      <c r="I148" s="30" t="s">
        <v>198</v>
      </c>
      <c r="J148" s="13">
        <f t="shared" si="1"/>
        <v>929.91780000000006</v>
      </c>
      <c r="K148" s="18"/>
      <c r="L148" s="32"/>
      <c r="M148" s="12"/>
      <c r="N148" s="9"/>
    </row>
    <row r="149" spans="1:14" ht="20.25" x14ac:dyDescent="0.25">
      <c r="A149" s="12"/>
      <c r="B149" s="9"/>
      <c r="C149" s="12"/>
      <c r="D149" s="9"/>
      <c r="E149" s="10"/>
      <c r="F149" s="9"/>
      <c r="G149" s="33"/>
      <c r="H149" s="11"/>
      <c r="I149" s="10"/>
      <c r="J149" s="13"/>
      <c r="K149" s="18"/>
      <c r="L149" s="32"/>
      <c r="M149" s="12"/>
      <c r="N149" s="9"/>
    </row>
    <row r="150" spans="1:14" ht="20.25" x14ac:dyDescent="0.25">
      <c r="A150" s="12"/>
      <c r="B150" s="9"/>
      <c r="C150" s="12"/>
      <c r="D150" s="9"/>
      <c r="E150" s="12"/>
      <c r="F150" s="9"/>
      <c r="G150" s="12"/>
      <c r="H150" s="11"/>
      <c r="I150" s="10"/>
      <c r="J150" s="13"/>
      <c r="K150" s="18"/>
      <c r="L150" s="32"/>
      <c r="M150" s="12"/>
      <c r="N150" s="9"/>
    </row>
    <row r="151" spans="1:14" ht="26.25" x14ac:dyDescent="0.25">
      <c r="A151" s="141" t="s">
        <v>199</v>
      </c>
      <c r="B151" s="141"/>
      <c r="C151" s="141"/>
      <c r="D151" s="141"/>
      <c r="E151" s="141"/>
      <c r="F151" s="141"/>
      <c r="G151" s="142" t="s">
        <v>200</v>
      </c>
      <c r="H151" s="142"/>
      <c r="I151" s="142"/>
      <c r="J151" s="142"/>
      <c r="K151" s="142"/>
      <c r="L151" s="142"/>
      <c r="M151" s="142"/>
      <c r="N151" s="142"/>
    </row>
    <row r="152" spans="1:14" ht="20.25" x14ac:dyDescent="0.25">
      <c r="A152" s="3" t="s">
        <v>36</v>
      </c>
      <c r="B152" s="4" t="s">
        <v>10</v>
      </c>
      <c r="C152" s="5" t="s">
        <v>36</v>
      </c>
      <c r="D152" s="4" t="s">
        <v>10</v>
      </c>
      <c r="E152" s="5" t="s">
        <v>9</v>
      </c>
      <c r="F152" s="6" t="s">
        <v>10</v>
      </c>
      <c r="G152" s="5" t="s">
        <v>9</v>
      </c>
      <c r="H152" s="4" t="s">
        <v>10</v>
      </c>
      <c r="I152" s="5" t="s">
        <v>9</v>
      </c>
      <c r="J152" s="4" t="s">
        <v>10</v>
      </c>
      <c r="K152" s="5" t="s">
        <v>9</v>
      </c>
      <c r="L152" s="4" t="s">
        <v>10</v>
      </c>
      <c r="M152" s="5" t="s">
        <v>9</v>
      </c>
      <c r="N152" s="6" t="s">
        <v>10</v>
      </c>
    </row>
    <row r="153" spans="1:14" ht="20.25" x14ac:dyDescent="0.25">
      <c r="A153" s="8">
        <v>130</v>
      </c>
      <c r="B153" s="9">
        <v>1143.2587053888001</v>
      </c>
      <c r="C153" s="12">
        <v>754</v>
      </c>
      <c r="D153" s="9">
        <v>1551.5653858848</v>
      </c>
      <c r="E153" s="34">
        <v>2710</v>
      </c>
      <c r="F153" s="35">
        <v>1347.4120456368</v>
      </c>
      <c r="G153" s="34" t="s">
        <v>201</v>
      </c>
      <c r="H153" s="9">
        <f>1344*1.5</f>
        <v>2016</v>
      </c>
      <c r="I153" s="34" t="s">
        <v>202</v>
      </c>
      <c r="J153" s="36">
        <f>2205*1.5</f>
        <v>3307.5</v>
      </c>
      <c r="K153" s="10" t="s">
        <v>203</v>
      </c>
      <c r="L153" s="9">
        <f>2783*1.5</f>
        <v>4174.5</v>
      </c>
      <c r="M153" s="10" t="s">
        <v>204</v>
      </c>
      <c r="N153" s="13">
        <f>788*1.5</f>
        <v>1182</v>
      </c>
    </row>
    <row r="154" spans="1:14" ht="20.25" x14ac:dyDescent="0.25">
      <c r="A154" s="8">
        <v>224</v>
      </c>
      <c r="B154" s="9">
        <v>1297.1589157296</v>
      </c>
      <c r="C154" s="12">
        <v>755</v>
      </c>
      <c r="D154" s="9">
        <v>1651.2864405444</v>
      </c>
      <c r="E154" s="12">
        <v>2730</v>
      </c>
      <c r="F154" s="14">
        <v>1071.0198311472</v>
      </c>
      <c r="G154" s="34" t="s">
        <v>205</v>
      </c>
      <c r="H154" s="9">
        <f>1166*1.5</f>
        <v>1749</v>
      </c>
      <c r="I154" s="34" t="s">
        <v>206</v>
      </c>
      <c r="J154" s="36">
        <f>2153*1.5</f>
        <v>3229.5</v>
      </c>
      <c r="K154" s="10" t="s">
        <v>207</v>
      </c>
      <c r="L154" s="11">
        <f>2258*1.5</f>
        <v>3387</v>
      </c>
      <c r="M154" s="10" t="s">
        <v>208</v>
      </c>
      <c r="N154" s="13">
        <f>830*1.5</f>
        <v>1245</v>
      </c>
    </row>
    <row r="155" spans="1:14" ht="20.25" x14ac:dyDescent="0.25">
      <c r="A155" s="8">
        <v>242</v>
      </c>
      <c r="B155" s="9">
        <v>1351.3380714108</v>
      </c>
      <c r="C155" s="12">
        <v>762</v>
      </c>
      <c r="D155" s="9">
        <v>1576.6919508384001</v>
      </c>
      <c r="E155" s="10">
        <v>2802</v>
      </c>
      <c r="F155" s="13">
        <v>984.64726411920003</v>
      </c>
      <c r="G155" s="34" t="s">
        <v>209</v>
      </c>
      <c r="H155" s="9">
        <f>1418*1.5</f>
        <v>2127</v>
      </c>
      <c r="I155" s="34" t="s">
        <v>210</v>
      </c>
      <c r="J155" s="36">
        <f>2100*1.5</f>
        <v>3150</v>
      </c>
      <c r="K155" s="10" t="s">
        <v>211</v>
      </c>
      <c r="L155" s="11">
        <f>1628*1.5</f>
        <v>2442</v>
      </c>
      <c r="M155" s="10" t="s">
        <v>212</v>
      </c>
      <c r="N155" s="13">
        <f>798*1.5</f>
        <v>1197</v>
      </c>
    </row>
    <row r="156" spans="1:14" ht="20.25" x14ac:dyDescent="0.25">
      <c r="A156" s="8">
        <v>406</v>
      </c>
      <c r="B156" s="11">
        <v>1083.5831136239999</v>
      </c>
      <c r="C156" s="12">
        <v>764</v>
      </c>
      <c r="D156" s="9">
        <v>1132.2658332215999</v>
      </c>
      <c r="E156" s="10">
        <v>2910</v>
      </c>
      <c r="F156" s="35">
        <v>1127.5546022927999</v>
      </c>
      <c r="G156" s="34" t="s">
        <v>213</v>
      </c>
      <c r="H156" s="9">
        <f>1470*1.5</f>
        <v>2205</v>
      </c>
      <c r="I156" s="34" t="s">
        <v>214</v>
      </c>
      <c r="J156" s="36">
        <f>1722*1.5</f>
        <v>2583</v>
      </c>
      <c r="K156" s="10" t="s">
        <v>215</v>
      </c>
      <c r="L156" s="11">
        <f>1943*1.5</f>
        <v>2914.5</v>
      </c>
      <c r="M156" s="37" t="s">
        <v>317</v>
      </c>
      <c r="N156" s="38">
        <f>977*1.5</f>
        <v>1465.5</v>
      </c>
    </row>
    <row r="157" spans="1:14" ht="20.25" x14ac:dyDescent="0.25">
      <c r="A157" s="8">
        <v>413</v>
      </c>
      <c r="B157" s="9">
        <v>1338.7747889340001</v>
      </c>
      <c r="C157" s="12">
        <v>769</v>
      </c>
      <c r="D157" s="9">
        <v>1268.8915301567999</v>
      </c>
      <c r="E157" s="10" t="s">
        <v>216</v>
      </c>
      <c r="F157" s="13">
        <v>1584.0402858719999</v>
      </c>
      <c r="G157" s="10" t="s">
        <v>217</v>
      </c>
      <c r="H157" s="63">
        <f>1470*1.5</f>
        <v>2205</v>
      </c>
      <c r="I157" s="34" t="s">
        <v>218</v>
      </c>
      <c r="J157" s="36">
        <f>2940*1.5</f>
        <v>4410</v>
      </c>
      <c r="K157" s="10" t="s">
        <v>219</v>
      </c>
      <c r="L157" s="9">
        <f>2048*1.5</f>
        <v>3072</v>
      </c>
      <c r="M157" s="37" t="s">
        <v>318</v>
      </c>
      <c r="N157" s="38">
        <f>1040*1.5</f>
        <v>1560</v>
      </c>
    </row>
    <row r="158" spans="1:14" ht="20.25" x14ac:dyDescent="0.25">
      <c r="A158" s="8">
        <v>453</v>
      </c>
      <c r="B158" s="9">
        <v>1388.2427136864001</v>
      </c>
      <c r="C158" s="10">
        <v>777</v>
      </c>
      <c r="D158" s="9">
        <v>1491.88979412</v>
      </c>
      <c r="E158" s="10" t="s">
        <v>220</v>
      </c>
      <c r="F158" s="13">
        <v>1840.04679672</v>
      </c>
      <c r="G158" s="10" t="s">
        <v>221</v>
      </c>
      <c r="H158" s="9">
        <f>914*1.5</f>
        <v>1371</v>
      </c>
      <c r="I158" s="10" t="s">
        <v>222</v>
      </c>
      <c r="J158" s="11">
        <f>2090*1.5</f>
        <v>3135</v>
      </c>
      <c r="K158" s="10" t="s">
        <v>223</v>
      </c>
      <c r="L158" s="11">
        <f>1575*1.5</f>
        <v>2362.5</v>
      </c>
      <c r="M158" s="37" t="s">
        <v>319</v>
      </c>
      <c r="N158" s="38">
        <f>788*1.5</f>
        <v>1182</v>
      </c>
    </row>
    <row r="159" spans="1:14" ht="20.25" x14ac:dyDescent="0.25">
      <c r="A159" s="8">
        <v>472</v>
      </c>
      <c r="B159" s="11">
        <v>1648.93082508</v>
      </c>
      <c r="C159" s="10">
        <v>782</v>
      </c>
      <c r="D159" s="11">
        <v>1233.5572981908001</v>
      </c>
      <c r="E159" s="10">
        <v>815</v>
      </c>
      <c r="F159" s="13">
        <f>1080*1.175</f>
        <v>1269</v>
      </c>
      <c r="G159" s="34" t="s">
        <v>224</v>
      </c>
      <c r="H159" s="9">
        <f>935*1.5</f>
        <v>1402.5</v>
      </c>
      <c r="I159" s="34" t="s">
        <v>225</v>
      </c>
      <c r="J159" s="36">
        <f>1460*1.5</f>
        <v>2190</v>
      </c>
      <c r="K159" s="10" t="s">
        <v>226</v>
      </c>
      <c r="L159" s="9">
        <f>1628*1.5</f>
        <v>2442</v>
      </c>
      <c r="M159" s="37" t="s">
        <v>320</v>
      </c>
      <c r="N159" s="38">
        <f>861*1.5</f>
        <v>1291.5</v>
      </c>
    </row>
    <row r="160" spans="1:14" ht="20.25" x14ac:dyDescent="0.25">
      <c r="A160" s="8">
        <v>492</v>
      </c>
      <c r="B160" s="11">
        <v>1339.5599940888001</v>
      </c>
      <c r="C160" s="12">
        <v>783</v>
      </c>
      <c r="D160" s="9">
        <v>1135.4066538407999</v>
      </c>
      <c r="E160" s="10">
        <v>2711</v>
      </c>
      <c r="F160" s="13">
        <f>800*1.175</f>
        <v>940</v>
      </c>
      <c r="G160" s="34" t="s">
        <v>227</v>
      </c>
      <c r="H160" s="9">
        <f>1911*1.5</f>
        <v>2866.5</v>
      </c>
      <c r="I160" s="60" t="s">
        <v>228</v>
      </c>
      <c r="J160" s="36">
        <f>2205*1.5</f>
        <v>3307.5</v>
      </c>
      <c r="K160" s="10" t="s">
        <v>229</v>
      </c>
      <c r="L160" s="9">
        <f>1880*1.5</f>
        <v>2820</v>
      </c>
      <c r="M160" s="37"/>
      <c r="N160" s="38"/>
    </row>
    <row r="161" spans="1:14" ht="26.25" x14ac:dyDescent="0.25">
      <c r="A161" s="16">
        <v>495</v>
      </c>
      <c r="B161" s="9">
        <v>1535.0760776340001</v>
      </c>
      <c r="C161" s="10">
        <v>785</v>
      </c>
      <c r="D161" s="9">
        <v>1418.0805095687999</v>
      </c>
      <c r="E161" s="10">
        <v>2720</v>
      </c>
      <c r="F161" s="13">
        <f>1112.32*1.175</f>
        <v>1306.9759999999999</v>
      </c>
      <c r="G161" s="34" t="s">
        <v>230</v>
      </c>
      <c r="H161" s="9">
        <f>1670*1.5</f>
        <v>2505</v>
      </c>
      <c r="I161" s="34" t="s">
        <v>231</v>
      </c>
      <c r="J161" s="36">
        <f>2468*1.5</f>
        <v>3702</v>
      </c>
      <c r="K161" s="62" t="s">
        <v>232</v>
      </c>
      <c r="L161" s="9">
        <f>1743*1.5</f>
        <v>2614.5</v>
      </c>
      <c r="M161" s="142" t="s">
        <v>233</v>
      </c>
      <c r="N161" s="142"/>
    </row>
    <row r="162" spans="1:14" ht="20.25" x14ac:dyDescent="0.25">
      <c r="A162" s="16">
        <v>520</v>
      </c>
      <c r="B162" s="9">
        <v>1002</v>
      </c>
      <c r="C162" s="12">
        <v>791</v>
      </c>
      <c r="D162" s="9">
        <v>1180.1633476643999</v>
      </c>
      <c r="E162" s="10">
        <v>2900</v>
      </c>
      <c r="F162" s="13">
        <f>822.81*1.175</f>
        <v>966.80174999999997</v>
      </c>
      <c r="G162" s="34" t="s">
        <v>234</v>
      </c>
      <c r="H162" s="36">
        <f>1806*1.5</f>
        <v>2709</v>
      </c>
      <c r="I162" s="34" t="s">
        <v>235</v>
      </c>
      <c r="J162" s="36">
        <f>1890*1.5</f>
        <v>2835</v>
      </c>
      <c r="K162" s="10" t="s">
        <v>236</v>
      </c>
      <c r="L162" s="9">
        <f>1313*1.5</f>
        <v>1969.5</v>
      </c>
      <c r="M162" s="5" t="s">
        <v>37</v>
      </c>
      <c r="N162" s="6" t="s">
        <v>10</v>
      </c>
    </row>
    <row r="163" spans="1:14" ht="20.25" x14ac:dyDescent="0.25">
      <c r="A163" s="16">
        <v>602</v>
      </c>
      <c r="B163" s="9">
        <v>1438.4958435936001</v>
      </c>
      <c r="C163" s="12">
        <v>795</v>
      </c>
      <c r="D163" s="9">
        <v>1625.3746704360001</v>
      </c>
      <c r="E163" s="10">
        <v>2750</v>
      </c>
      <c r="F163" s="13">
        <f>1163.27*1.175</f>
        <v>1366.8422499999999</v>
      </c>
      <c r="G163" s="34" t="s">
        <v>237</v>
      </c>
      <c r="H163" s="36">
        <f>1670*1.5</f>
        <v>2505</v>
      </c>
      <c r="I163" s="34" t="s">
        <v>238</v>
      </c>
      <c r="J163" s="36">
        <f>2415*1.5</f>
        <v>3622.5</v>
      </c>
      <c r="K163" s="10" t="s">
        <v>239</v>
      </c>
      <c r="L163" s="9">
        <f>1733*1.5</f>
        <v>2599.5</v>
      </c>
      <c r="M163" s="10">
        <v>1303</v>
      </c>
      <c r="N163" s="14">
        <f>1111*1.348</f>
        <v>1497.6280000000002</v>
      </c>
    </row>
    <row r="164" spans="1:14" ht="20.25" x14ac:dyDescent="0.25">
      <c r="A164" s="8">
        <v>609</v>
      </c>
      <c r="B164" s="9">
        <v>1447.9183054512</v>
      </c>
      <c r="C164" s="12">
        <v>796</v>
      </c>
      <c r="D164" s="9">
        <v>1685</v>
      </c>
      <c r="E164" s="10">
        <v>2700</v>
      </c>
      <c r="F164" s="13">
        <f>1059.68*1.175</f>
        <v>1245.124</v>
      </c>
      <c r="G164" s="34" t="s">
        <v>240</v>
      </c>
      <c r="H164" s="36">
        <f>1880*1.5</f>
        <v>2820</v>
      </c>
      <c r="I164" s="34" t="s">
        <v>241</v>
      </c>
      <c r="J164" s="11">
        <f>1995*1.5</f>
        <v>2992.5</v>
      </c>
      <c r="K164" s="10" t="s">
        <v>242</v>
      </c>
      <c r="L164" s="11">
        <f>1890*1.5</f>
        <v>2835</v>
      </c>
      <c r="M164" s="10">
        <v>1357</v>
      </c>
      <c r="N164" s="14">
        <f>1111*1.348</f>
        <v>1497.6280000000002</v>
      </c>
    </row>
    <row r="165" spans="1:14" ht="20.25" x14ac:dyDescent="0.25">
      <c r="A165" s="8">
        <v>615</v>
      </c>
      <c r="B165" s="11">
        <v>1486.3933580364001</v>
      </c>
      <c r="C165" s="12">
        <v>800</v>
      </c>
      <c r="D165" s="9">
        <v>1506.8086920612</v>
      </c>
      <c r="E165" s="10"/>
      <c r="F165" s="13"/>
      <c r="G165" s="34" t="s">
        <v>243</v>
      </c>
      <c r="H165" s="9">
        <f>1905*1.5</f>
        <v>2857.5</v>
      </c>
      <c r="I165" s="34" t="s">
        <v>244</v>
      </c>
      <c r="J165" s="11">
        <f>1890*1.5</f>
        <v>2835</v>
      </c>
      <c r="K165" s="10" t="s">
        <v>245</v>
      </c>
      <c r="L165" s="11">
        <f>2300*1.5</f>
        <v>3450</v>
      </c>
      <c r="M165" s="10">
        <v>1359</v>
      </c>
      <c r="N165" s="14">
        <f>1111*1.348</f>
        <v>1497.6280000000002</v>
      </c>
    </row>
    <row r="166" spans="1:14" ht="20.25" x14ac:dyDescent="0.25">
      <c r="A166" s="8">
        <v>629</v>
      </c>
      <c r="B166" s="9">
        <v>1413.3692786399999</v>
      </c>
      <c r="C166" s="12">
        <v>808</v>
      </c>
      <c r="D166" s="9">
        <v>1206.0751177728</v>
      </c>
      <c r="E166" s="10"/>
      <c r="F166" s="13"/>
      <c r="G166" s="10" t="s">
        <v>246</v>
      </c>
      <c r="H166" s="36">
        <f>1460*1.5</f>
        <v>2190</v>
      </c>
      <c r="I166" s="34" t="s">
        <v>247</v>
      </c>
      <c r="J166" s="11">
        <f>1701*1.5</f>
        <v>2551.5</v>
      </c>
      <c r="K166" s="10" t="s">
        <v>248</v>
      </c>
      <c r="L166" s="11">
        <f>2363*1.5</f>
        <v>3544.5</v>
      </c>
      <c r="M166" s="10">
        <v>1387</v>
      </c>
      <c r="N166" s="14">
        <f>966*1.348</f>
        <v>1302.1680000000001</v>
      </c>
    </row>
    <row r="167" spans="1:14" ht="20.25" x14ac:dyDescent="0.25">
      <c r="A167" s="8">
        <v>662</v>
      </c>
      <c r="B167" s="9">
        <v>1727.4513405600001</v>
      </c>
      <c r="C167" s="12">
        <v>813</v>
      </c>
      <c r="D167" s="9">
        <v>1224.9200414879999</v>
      </c>
      <c r="E167" s="10"/>
      <c r="F167" s="13"/>
      <c r="G167" s="34" t="s">
        <v>249</v>
      </c>
      <c r="H167" s="9">
        <f>1313*1.5</f>
        <v>1969.5</v>
      </c>
      <c r="I167" s="34" t="s">
        <v>250</v>
      </c>
      <c r="J167" s="36">
        <f>1838*1.5</f>
        <v>2757</v>
      </c>
      <c r="K167" s="10" t="s">
        <v>251</v>
      </c>
      <c r="L167" s="11">
        <f>2205*1.5</f>
        <v>3307.5</v>
      </c>
      <c r="M167" s="10">
        <v>1390</v>
      </c>
      <c r="N167" s="14">
        <f>1111*1.348</f>
        <v>1497.6280000000002</v>
      </c>
    </row>
    <row r="168" spans="1:14" ht="20.25" x14ac:dyDescent="0.25">
      <c r="A168" s="8">
        <v>663</v>
      </c>
      <c r="B168" s="9">
        <v>1539.002103408</v>
      </c>
      <c r="C168" s="12">
        <v>816</v>
      </c>
      <c r="D168" s="9">
        <v>1224.9200414879999</v>
      </c>
      <c r="E168" s="10"/>
      <c r="F168" s="13"/>
      <c r="G168" s="34" t="s">
        <v>252</v>
      </c>
      <c r="H168" s="36">
        <f>1775*1.5</f>
        <v>2662.5</v>
      </c>
      <c r="I168" s="34" t="s">
        <v>253</v>
      </c>
      <c r="J168" s="9">
        <f>2090*1.5</f>
        <v>3135</v>
      </c>
      <c r="K168" s="10" t="s">
        <v>254</v>
      </c>
      <c r="L168" s="11">
        <f>2762*1.5</f>
        <v>4143</v>
      </c>
      <c r="M168" s="10"/>
      <c r="N168" s="19"/>
    </row>
    <row r="169" spans="1:14" ht="20.25" x14ac:dyDescent="0.25">
      <c r="A169" s="8">
        <v>702</v>
      </c>
      <c r="B169" s="11">
        <v>1471.4744600951999</v>
      </c>
      <c r="C169" s="10">
        <v>1001</v>
      </c>
      <c r="D169" s="9">
        <v>1170.4001364000001</v>
      </c>
      <c r="E169" s="10"/>
      <c r="F169" s="13"/>
      <c r="G169" s="34" t="s">
        <v>255</v>
      </c>
      <c r="H169" s="36">
        <f>1733*1.5</f>
        <v>2599.5</v>
      </c>
      <c r="I169" s="34" t="s">
        <v>256</v>
      </c>
      <c r="J169" s="9">
        <f>1806*1.5</f>
        <v>2709</v>
      </c>
      <c r="K169" s="10" t="s">
        <v>257</v>
      </c>
      <c r="L169" s="11">
        <f>2468*1.5</f>
        <v>3702</v>
      </c>
      <c r="M169" s="10"/>
      <c r="N169" s="20"/>
    </row>
    <row r="170" spans="1:14" ht="20.25" x14ac:dyDescent="0.25">
      <c r="A170" s="8">
        <v>718</v>
      </c>
      <c r="B170" s="9">
        <v>1626.9450807456001</v>
      </c>
      <c r="C170" s="12">
        <v>1006</v>
      </c>
      <c r="D170" s="9">
        <v>1306.5813775872</v>
      </c>
      <c r="E170" s="10"/>
      <c r="F170" s="13"/>
      <c r="G170" s="34" t="s">
        <v>258</v>
      </c>
      <c r="H170" s="36">
        <f>1838*1.5</f>
        <v>2757</v>
      </c>
      <c r="I170" s="34" t="s">
        <v>259</v>
      </c>
      <c r="J170" s="9">
        <f>2205*1.5</f>
        <v>3307.5</v>
      </c>
      <c r="K170" s="10" t="s">
        <v>260</v>
      </c>
      <c r="L170" s="9">
        <f>1806*1.5</f>
        <v>2709</v>
      </c>
      <c r="M170" s="10"/>
      <c r="N170" s="39"/>
    </row>
    <row r="171" spans="1:14" ht="20.25" x14ac:dyDescent="0.25">
      <c r="A171" s="8">
        <v>720</v>
      </c>
      <c r="B171" s="9">
        <v>1626.9450807456001</v>
      </c>
      <c r="C171" s="10">
        <v>2000</v>
      </c>
      <c r="D171" s="9">
        <v>874.71854244719998</v>
      </c>
      <c r="E171" s="10"/>
      <c r="F171" s="13"/>
      <c r="G171" s="34" t="s">
        <v>261</v>
      </c>
      <c r="H171" s="36">
        <f>1365*1.5</f>
        <v>2047.5</v>
      </c>
      <c r="I171" s="34" t="s">
        <v>262</v>
      </c>
      <c r="J171" s="9">
        <f>2205*1.5</f>
        <v>3307.5</v>
      </c>
      <c r="K171" s="10" t="s">
        <v>263</v>
      </c>
      <c r="L171" s="11">
        <f>1418*1.5</f>
        <v>2127</v>
      </c>
      <c r="M171" s="10"/>
      <c r="N171" s="20"/>
    </row>
    <row r="172" spans="1:14" ht="20.25" x14ac:dyDescent="0.25">
      <c r="A172" s="8">
        <v>721</v>
      </c>
      <c r="B172" s="9">
        <v>1651.2864405444</v>
      </c>
      <c r="C172" s="12">
        <v>2600</v>
      </c>
      <c r="D172" s="9">
        <v>1416.5100992591999</v>
      </c>
      <c r="E172" s="12"/>
      <c r="F172" s="14"/>
      <c r="G172" s="10" t="s">
        <v>264</v>
      </c>
      <c r="H172" s="9">
        <f>1460*1.5</f>
        <v>2190</v>
      </c>
      <c r="I172" s="34" t="s">
        <v>265</v>
      </c>
      <c r="J172" s="9">
        <f>1806*1.5</f>
        <v>2709</v>
      </c>
      <c r="K172" s="10" t="s">
        <v>266</v>
      </c>
      <c r="L172" s="9">
        <f>935*1.5</f>
        <v>1402.5</v>
      </c>
      <c r="M172" s="10"/>
      <c r="N172" s="14"/>
    </row>
    <row r="173" spans="1:14" ht="20.25" x14ac:dyDescent="0.25">
      <c r="A173" s="12">
        <v>727</v>
      </c>
      <c r="B173" s="9">
        <v>1630.8711065196001</v>
      </c>
      <c r="C173" s="10">
        <v>2610</v>
      </c>
      <c r="D173" s="9">
        <v>1261.0394786088</v>
      </c>
      <c r="E173" s="12"/>
      <c r="F173" s="14"/>
      <c r="G173" s="10" t="s">
        <v>267</v>
      </c>
      <c r="H173" s="9">
        <v>1914.00027</v>
      </c>
      <c r="I173" s="62" t="s">
        <v>268</v>
      </c>
      <c r="J173" s="9">
        <f>1943*1.5</f>
        <v>2914.5</v>
      </c>
      <c r="K173" s="10" t="s">
        <v>269</v>
      </c>
      <c r="L173" s="9">
        <f>977*1.5</f>
        <v>1465.5</v>
      </c>
      <c r="M173" s="10"/>
      <c r="N173" s="14"/>
    </row>
    <row r="174" spans="1:14" ht="20.25" x14ac:dyDescent="0.25">
      <c r="A174" s="12">
        <v>729</v>
      </c>
      <c r="B174" s="9">
        <v>1640.2935683772</v>
      </c>
      <c r="C174" s="10">
        <v>2620</v>
      </c>
      <c r="D174" s="9">
        <v>1140.1178847696001</v>
      </c>
      <c r="E174" s="12"/>
      <c r="F174" s="27"/>
      <c r="G174" s="34" t="s">
        <v>270</v>
      </c>
      <c r="H174" s="36">
        <f>1418*1.5</f>
        <v>2127</v>
      </c>
      <c r="I174" s="10" t="s">
        <v>271</v>
      </c>
      <c r="J174" s="9">
        <f>2048*1.5</f>
        <v>3072</v>
      </c>
      <c r="K174" s="10" t="s">
        <v>272</v>
      </c>
      <c r="L174" s="9">
        <f>830*1.5</f>
        <v>1245</v>
      </c>
      <c r="M174" s="10"/>
      <c r="N174" s="14"/>
    </row>
    <row r="175" spans="1:14" ht="21" thickBot="1" x14ac:dyDescent="0.3">
      <c r="A175" s="12">
        <v>733</v>
      </c>
      <c r="B175" s="9">
        <v>1677.1982106528001</v>
      </c>
      <c r="C175" s="12">
        <v>2630</v>
      </c>
      <c r="D175" s="9">
        <v>1278.3139920143999</v>
      </c>
      <c r="E175" s="12"/>
      <c r="F175" s="27"/>
      <c r="G175" s="60" t="s">
        <v>273</v>
      </c>
      <c r="H175" s="36">
        <f>2342*1.5</f>
        <v>3513</v>
      </c>
      <c r="I175" s="10" t="s">
        <v>274</v>
      </c>
      <c r="J175" s="9">
        <f>3665*1.5</f>
        <v>5497.5</v>
      </c>
      <c r="K175" s="10" t="s">
        <v>275</v>
      </c>
      <c r="L175" s="9">
        <f>788*1.5</f>
        <v>1182</v>
      </c>
      <c r="M175" s="10"/>
      <c r="N175" s="14"/>
    </row>
    <row r="176" spans="1:14" ht="21" thickBot="1" x14ac:dyDescent="0.3">
      <c r="A176" s="74">
        <v>753</v>
      </c>
      <c r="B176" s="67">
        <v>1569.6251044451999</v>
      </c>
      <c r="C176" s="74">
        <v>2640</v>
      </c>
      <c r="D176" s="67">
        <v>1028.6187527879999</v>
      </c>
      <c r="E176" s="74"/>
      <c r="F176" s="47"/>
      <c r="G176" s="75" t="s">
        <v>276</v>
      </c>
      <c r="H176" s="48">
        <f>2226*1.5</f>
        <v>3339</v>
      </c>
      <c r="I176" s="49" t="s">
        <v>260</v>
      </c>
      <c r="J176" s="67">
        <f>1806*1.5</f>
        <v>2709</v>
      </c>
      <c r="K176" s="49" t="s">
        <v>278</v>
      </c>
      <c r="L176" s="67">
        <f>788*1.5</f>
        <v>1182</v>
      </c>
      <c r="M176" s="49"/>
      <c r="N176" s="69"/>
    </row>
    <row r="177" spans="1:52" s="81" customFormat="1" ht="21.75" thickTop="1" thickBot="1" x14ac:dyDescent="0.3">
      <c r="A177" s="76"/>
      <c r="B177" s="77"/>
      <c r="C177" s="76"/>
      <c r="D177" s="77"/>
      <c r="E177" s="76"/>
      <c r="F177" s="77"/>
      <c r="G177" s="78"/>
      <c r="H177" s="79"/>
      <c r="I177" s="49" t="s">
        <v>277</v>
      </c>
      <c r="J177" s="67">
        <f>2520*1.5</f>
        <v>3780</v>
      </c>
      <c r="K177" s="80"/>
      <c r="L177" s="77"/>
      <c r="M177" s="80"/>
      <c r="N177" s="77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</row>
    <row r="178" spans="1:52" ht="19.5" thickTop="1" thickBot="1" x14ac:dyDescent="0.3">
      <c r="A178" s="149" t="s">
        <v>0</v>
      </c>
      <c r="B178" s="149"/>
      <c r="C178" s="149"/>
      <c r="D178" s="149"/>
      <c r="E178" s="149"/>
      <c r="F178" s="149"/>
      <c r="G178" s="149"/>
      <c r="H178" s="149">
        <v>2846.5921575000002</v>
      </c>
      <c r="I178" s="149"/>
      <c r="J178" s="149"/>
      <c r="K178" s="149"/>
      <c r="L178" s="149"/>
      <c r="M178" s="149"/>
      <c r="N178" s="149"/>
    </row>
    <row r="179" spans="1:52" ht="49.5" customHeight="1" thickBot="1" x14ac:dyDescent="0.3">
      <c r="A179" s="141" t="s">
        <v>279</v>
      </c>
      <c r="B179" s="141"/>
      <c r="C179" s="141"/>
      <c r="D179" s="141"/>
      <c r="E179" s="150" t="s">
        <v>280</v>
      </c>
      <c r="F179" s="150"/>
      <c r="G179" s="141" t="s">
        <v>281</v>
      </c>
      <c r="H179" s="141"/>
      <c r="I179" s="151" t="s">
        <v>314</v>
      </c>
      <c r="J179" s="151"/>
      <c r="K179" s="151"/>
      <c r="L179" s="151"/>
      <c r="M179" s="141" t="s">
        <v>282</v>
      </c>
      <c r="N179" s="141"/>
    </row>
    <row r="180" spans="1:52" ht="20.25" x14ac:dyDescent="0.25">
      <c r="A180" s="3" t="s">
        <v>36</v>
      </c>
      <c r="B180" s="4" t="s">
        <v>10</v>
      </c>
      <c r="C180" s="5" t="s">
        <v>36</v>
      </c>
      <c r="D180" s="6" t="s">
        <v>10</v>
      </c>
      <c r="E180" s="7" t="s">
        <v>36</v>
      </c>
      <c r="F180" s="40" t="s">
        <v>10</v>
      </c>
      <c r="G180" s="3" t="s">
        <v>36</v>
      </c>
      <c r="H180" s="6" t="s">
        <v>10</v>
      </c>
      <c r="I180" s="7" t="s">
        <v>36</v>
      </c>
      <c r="J180" s="4" t="s">
        <v>10</v>
      </c>
      <c r="K180" s="5" t="s">
        <v>36</v>
      </c>
      <c r="L180" s="40" t="s">
        <v>10</v>
      </c>
      <c r="M180" s="3" t="s">
        <v>36</v>
      </c>
      <c r="N180" s="6" t="s">
        <v>10</v>
      </c>
    </row>
    <row r="181" spans="1:52" ht="20.25" x14ac:dyDescent="0.25">
      <c r="A181" s="8" t="s">
        <v>283</v>
      </c>
      <c r="B181" s="9">
        <f>1838*1.43</f>
        <v>2628.3399999999997</v>
      </c>
      <c r="C181" s="10">
        <v>2090</v>
      </c>
      <c r="D181" s="13">
        <f>2064*1.43</f>
        <v>2951.52</v>
      </c>
      <c r="E181" s="15">
        <v>22204</v>
      </c>
      <c r="F181" s="27">
        <v>3054.7040000000002</v>
      </c>
      <c r="G181" s="16">
        <v>400</v>
      </c>
      <c r="H181" s="13">
        <v>4180</v>
      </c>
      <c r="I181" s="17">
        <v>64</v>
      </c>
      <c r="J181" s="9">
        <v>904</v>
      </c>
      <c r="K181" s="34">
        <v>2003</v>
      </c>
      <c r="L181" s="41">
        <v>1395.48</v>
      </c>
      <c r="M181" s="8">
        <v>4256</v>
      </c>
      <c r="N181" s="14">
        <v>1470</v>
      </c>
    </row>
    <row r="182" spans="1:52" ht="20.25" x14ac:dyDescent="0.25">
      <c r="A182" s="8" t="s">
        <v>284</v>
      </c>
      <c r="B182" s="9">
        <f>1885*1.43</f>
        <v>2695.5499999999997</v>
      </c>
      <c r="C182" s="10">
        <v>2510</v>
      </c>
      <c r="D182" s="19">
        <f>2125*1.43</f>
        <v>3038.75</v>
      </c>
      <c r="E182" s="15">
        <v>22215</v>
      </c>
      <c r="F182" s="27">
        <v>2809.328</v>
      </c>
      <c r="G182" s="16">
        <v>500</v>
      </c>
      <c r="H182" s="13">
        <v>3140</v>
      </c>
      <c r="I182" s="17">
        <v>105</v>
      </c>
      <c r="J182" s="9">
        <v>1153.04</v>
      </c>
      <c r="K182" s="34">
        <v>2005</v>
      </c>
      <c r="L182" s="41">
        <v>1886.16</v>
      </c>
      <c r="M182" s="8">
        <v>5210</v>
      </c>
      <c r="N182" s="14">
        <v>2340</v>
      </c>
    </row>
    <row r="183" spans="1:52" ht="20.25" x14ac:dyDescent="0.25">
      <c r="A183" s="8" t="s">
        <v>285</v>
      </c>
      <c r="B183" s="9">
        <f>2096*1.43</f>
        <v>2997.2799999999997</v>
      </c>
      <c r="C183" s="8">
        <v>3000</v>
      </c>
      <c r="D183" s="9">
        <f>2345*1.43</f>
        <v>3353.35</v>
      </c>
      <c r="E183" s="15">
        <v>22216</v>
      </c>
      <c r="F183" s="27">
        <v>2686.64</v>
      </c>
      <c r="G183" s="16">
        <v>800</v>
      </c>
      <c r="H183" s="13">
        <v>4720</v>
      </c>
      <c r="I183" s="17">
        <v>109</v>
      </c>
      <c r="J183" s="9">
        <v>1045.1600000000001</v>
      </c>
      <c r="K183" s="12">
        <v>5010</v>
      </c>
      <c r="L183" s="42">
        <v>1716.8</v>
      </c>
      <c r="M183" s="8">
        <v>6256</v>
      </c>
      <c r="N183" s="14">
        <v>3910</v>
      </c>
    </row>
    <row r="184" spans="1:52" ht="20.25" x14ac:dyDescent="0.25">
      <c r="A184" s="8" t="s">
        <v>286</v>
      </c>
      <c r="B184" s="9">
        <f>2208*1.43</f>
        <v>3157.44</v>
      </c>
      <c r="C184" s="8">
        <v>3010</v>
      </c>
      <c r="D184" s="9">
        <f>2345*1.43</f>
        <v>3353.35</v>
      </c>
      <c r="E184" s="15" t="s">
        <v>287</v>
      </c>
      <c r="F184" s="27">
        <v>3054.7040000000002</v>
      </c>
      <c r="G184" s="16">
        <v>1000</v>
      </c>
      <c r="H184" s="13">
        <v>3450</v>
      </c>
      <c r="I184" s="17">
        <v>114</v>
      </c>
      <c r="J184" s="9">
        <v>1294.56</v>
      </c>
      <c r="K184" s="10">
        <v>5020</v>
      </c>
      <c r="L184" s="42">
        <v>1716.8</v>
      </c>
      <c r="M184" s="8">
        <v>5209</v>
      </c>
      <c r="N184" s="13">
        <v>2490</v>
      </c>
    </row>
    <row r="185" spans="1:52" ht="20.25" x14ac:dyDescent="0.25">
      <c r="A185" s="8" t="s">
        <v>288</v>
      </c>
      <c r="B185" s="9">
        <f>2559*1.43</f>
        <v>3659.37</v>
      </c>
      <c r="C185" s="12">
        <v>3020</v>
      </c>
      <c r="D185" s="14">
        <f>3221*1.43</f>
        <v>4606.03</v>
      </c>
      <c r="E185" s="15">
        <v>22238</v>
      </c>
      <c r="F185" s="27">
        <v>3668.1439999999998</v>
      </c>
      <c r="G185" s="16">
        <v>1504</v>
      </c>
      <c r="H185" s="13">
        <v>4160</v>
      </c>
      <c r="I185" s="17">
        <v>115</v>
      </c>
      <c r="J185" s="9">
        <v>1292.24</v>
      </c>
      <c r="K185" s="12">
        <v>5030</v>
      </c>
      <c r="L185" s="27">
        <v>1827</v>
      </c>
      <c r="M185" s="8">
        <v>6306</v>
      </c>
      <c r="N185" s="13">
        <v>1980</v>
      </c>
    </row>
    <row r="186" spans="1:52" ht="20.25" x14ac:dyDescent="0.25">
      <c r="A186" s="8" t="s">
        <v>289</v>
      </c>
      <c r="B186" s="9">
        <f>2656*1.43</f>
        <v>3798.08</v>
      </c>
      <c r="C186" s="10">
        <v>3040</v>
      </c>
      <c r="D186" s="14">
        <f>3221*1.43</f>
        <v>4606.03</v>
      </c>
      <c r="E186" s="15" t="s">
        <v>290</v>
      </c>
      <c r="F186" s="27">
        <v>2441.2640000000001</v>
      </c>
      <c r="G186" s="16">
        <v>1505</v>
      </c>
      <c r="H186" s="13">
        <v>4440</v>
      </c>
      <c r="I186" s="17">
        <v>141</v>
      </c>
      <c r="J186" s="9">
        <v>1330.52</v>
      </c>
      <c r="K186" s="12">
        <v>5040</v>
      </c>
      <c r="L186" s="27">
        <v>2170.36</v>
      </c>
      <c r="M186" s="8">
        <v>6307</v>
      </c>
      <c r="N186" s="13">
        <v>4540</v>
      </c>
    </row>
    <row r="187" spans="1:52" ht="20.25" x14ac:dyDescent="0.25">
      <c r="A187" s="8" t="s">
        <v>291</v>
      </c>
      <c r="B187" s="9">
        <f>2875*1.43</f>
        <v>4111.25</v>
      </c>
      <c r="C187" s="10">
        <v>3041</v>
      </c>
      <c r="D187" s="14">
        <f>3221*1.43</f>
        <v>4606.03</v>
      </c>
      <c r="E187" s="15">
        <v>22247</v>
      </c>
      <c r="F187" s="27">
        <v>1950.5119999999999</v>
      </c>
      <c r="G187" s="16">
        <v>1506</v>
      </c>
      <c r="H187" s="13">
        <v>5370</v>
      </c>
      <c r="I187" s="17">
        <v>190</v>
      </c>
      <c r="J187" s="9">
        <v>1423.32</v>
      </c>
      <c r="K187" s="12">
        <v>5041</v>
      </c>
      <c r="L187" s="27">
        <v>1956.92</v>
      </c>
      <c r="M187" s="8">
        <v>6318</v>
      </c>
      <c r="N187" s="13">
        <v>4130</v>
      </c>
    </row>
    <row r="188" spans="1:52" ht="20.25" x14ac:dyDescent="0.25">
      <c r="A188" s="12" t="s">
        <v>292</v>
      </c>
      <c r="B188" s="14">
        <f>2152*1.43</f>
        <v>3077.3599999999997</v>
      </c>
      <c r="C188" s="8">
        <v>3042</v>
      </c>
      <c r="D188" s="14">
        <f>3221*1.43</f>
        <v>4606.03</v>
      </c>
      <c r="E188" s="15" t="s">
        <v>293</v>
      </c>
      <c r="F188" s="27">
        <v>2441.2640000000001</v>
      </c>
      <c r="G188" s="16" t="s">
        <v>294</v>
      </c>
      <c r="H188" s="13">
        <v>4270</v>
      </c>
      <c r="I188" s="17">
        <v>201</v>
      </c>
      <c r="J188" s="9">
        <v>1086.92</v>
      </c>
      <c r="K188" s="10">
        <v>5042</v>
      </c>
      <c r="L188" s="42">
        <v>2285.1999999999998</v>
      </c>
      <c r="M188" s="8">
        <v>6319</v>
      </c>
      <c r="N188" s="13">
        <v>2940</v>
      </c>
    </row>
    <row r="189" spans="1:52" ht="20.25" x14ac:dyDescent="0.25">
      <c r="A189" s="8" t="s">
        <v>295</v>
      </c>
      <c r="B189" s="9">
        <f>1568*1.43</f>
        <v>2242.2399999999998</v>
      </c>
      <c r="C189" s="8">
        <v>3070</v>
      </c>
      <c r="D189" s="9">
        <f>2258*1.43</f>
        <v>3228.94</v>
      </c>
      <c r="E189" s="15">
        <v>22248</v>
      </c>
      <c r="F189" s="27">
        <v>1950.5119999999999</v>
      </c>
      <c r="G189" s="16" t="s">
        <v>296</v>
      </c>
      <c r="H189" s="13">
        <v>4270</v>
      </c>
      <c r="I189" s="17">
        <v>202</v>
      </c>
      <c r="J189" s="9">
        <v>1688.96</v>
      </c>
      <c r="K189" s="10">
        <v>5043</v>
      </c>
      <c r="L189" s="42">
        <v>1965.04</v>
      </c>
      <c r="M189" s="8">
        <v>6335</v>
      </c>
      <c r="N189" s="14">
        <v>3670</v>
      </c>
    </row>
    <row r="190" spans="1:52" ht="20.25" x14ac:dyDescent="0.25">
      <c r="A190" s="8" t="s">
        <v>297</v>
      </c>
      <c r="B190" s="9">
        <f>1706*1.43</f>
        <v>2439.58</v>
      </c>
      <c r="C190" s="10">
        <v>3090</v>
      </c>
      <c r="D190" s="19">
        <f>2258*1.43</f>
        <v>3228.94</v>
      </c>
      <c r="E190" s="15" t="s">
        <v>298</v>
      </c>
      <c r="F190" s="27">
        <v>2441.2640000000001</v>
      </c>
      <c r="G190" s="16" t="s">
        <v>299</v>
      </c>
      <c r="H190" s="13">
        <v>4110</v>
      </c>
      <c r="I190" s="17">
        <v>203</v>
      </c>
      <c r="J190" s="9">
        <v>1528.88</v>
      </c>
      <c r="K190" s="10">
        <v>5200</v>
      </c>
      <c r="L190" s="42">
        <v>3351.24</v>
      </c>
      <c r="M190" s="8">
        <v>6346</v>
      </c>
      <c r="N190" s="14">
        <v>4410</v>
      </c>
    </row>
    <row r="191" spans="1:52" ht="20.25" x14ac:dyDescent="0.25">
      <c r="A191" s="8" t="s">
        <v>300</v>
      </c>
      <c r="B191" s="9">
        <f>1782*1.43</f>
        <v>2548.2599999999998</v>
      </c>
      <c r="C191" s="10"/>
      <c r="D191" s="19"/>
      <c r="E191" s="17" t="s">
        <v>301</v>
      </c>
      <c r="F191" s="27">
        <v>2441.2640000000001</v>
      </c>
      <c r="G191" s="16" t="s">
        <v>302</v>
      </c>
      <c r="H191" s="13">
        <v>5200</v>
      </c>
      <c r="I191" s="43">
        <v>732</v>
      </c>
      <c r="J191" s="36">
        <v>1753</v>
      </c>
      <c r="K191" s="10">
        <v>5202</v>
      </c>
      <c r="L191" s="42">
        <v>3351.24</v>
      </c>
      <c r="M191" s="16">
        <v>6337</v>
      </c>
      <c r="N191" s="14">
        <v>3220</v>
      </c>
    </row>
    <row r="192" spans="1:52" ht="20.25" x14ac:dyDescent="0.25">
      <c r="A192" s="8" t="s">
        <v>303</v>
      </c>
      <c r="B192" s="9">
        <f>1952*1.43</f>
        <v>2791.3599999999997</v>
      </c>
      <c r="C192" s="18"/>
      <c r="D192" s="19"/>
      <c r="E192" s="15" t="s">
        <v>304</v>
      </c>
      <c r="F192" s="27">
        <v>4036.2080000000001</v>
      </c>
      <c r="G192" s="8"/>
      <c r="H192" s="14"/>
      <c r="I192" s="43">
        <v>806</v>
      </c>
      <c r="J192" s="36">
        <v>1665.76</v>
      </c>
      <c r="K192" s="10">
        <v>5203</v>
      </c>
      <c r="L192" s="42">
        <v>2779.36</v>
      </c>
      <c r="M192" s="8">
        <v>6323</v>
      </c>
      <c r="N192" s="14">
        <v>1750</v>
      </c>
    </row>
    <row r="193" spans="1:14" ht="20.25" x14ac:dyDescent="0.25">
      <c r="A193" s="8" t="s">
        <v>305</v>
      </c>
      <c r="B193" s="9">
        <f>2004*1.43</f>
        <v>2865.72</v>
      </c>
      <c r="C193" s="18"/>
      <c r="D193" s="19"/>
      <c r="E193" s="15">
        <v>22308</v>
      </c>
      <c r="F193" s="27">
        <v>2319</v>
      </c>
      <c r="G193" s="8"/>
      <c r="H193" s="14"/>
      <c r="I193" s="43">
        <v>930</v>
      </c>
      <c r="J193" s="36">
        <v>1691.28</v>
      </c>
      <c r="K193" s="10">
        <v>5204</v>
      </c>
      <c r="L193" s="42">
        <v>3750.28</v>
      </c>
      <c r="M193" s="16">
        <v>6278</v>
      </c>
      <c r="N193" s="13">
        <f>5040*1.4</f>
        <v>7056</v>
      </c>
    </row>
    <row r="194" spans="1:14" ht="20.25" x14ac:dyDescent="0.25">
      <c r="A194" s="8" t="s">
        <v>306</v>
      </c>
      <c r="B194" s="9">
        <f>2125*1.43</f>
        <v>3038.75</v>
      </c>
      <c r="C194" s="18"/>
      <c r="D194" s="19"/>
      <c r="E194" s="15" t="s">
        <v>307</v>
      </c>
      <c r="F194" s="27">
        <v>2809</v>
      </c>
      <c r="G194" s="8"/>
      <c r="H194" s="14"/>
      <c r="I194" s="43">
        <v>1080</v>
      </c>
      <c r="J194" s="36">
        <v>1379.24</v>
      </c>
      <c r="K194" s="10">
        <v>5205</v>
      </c>
      <c r="L194" s="42">
        <v>3112.28</v>
      </c>
      <c r="M194" s="16">
        <v>6348</v>
      </c>
      <c r="N194" s="13">
        <f>3040*1.4</f>
        <v>4256</v>
      </c>
    </row>
    <row r="195" spans="1:14" ht="20.25" x14ac:dyDescent="0.25">
      <c r="A195" s="10" t="s">
        <v>308</v>
      </c>
      <c r="B195" s="13">
        <f>1744*1.43</f>
        <v>2493.92</v>
      </c>
      <c r="C195" s="18"/>
      <c r="D195" s="19"/>
      <c r="E195" s="15">
        <v>22311</v>
      </c>
      <c r="F195" s="27">
        <v>2195.8879999999999</v>
      </c>
      <c r="G195" s="8"/>
      <c r="H195" s="14"/>
      <c r="I195" s="43">
        <v>2001</v>
      </c>
      <c r="J195" s="36">
        <v>1352.56</v>
      </c>
      <c r="K195" s="10"/>
      <c r="L195" s="42"/>
      <c r="M195" s="16">
        <v>6338</v>
      </c>
      <c r="N195" s="13">
        <f>2090*1.4</f>
        <v>2926</v>
      </c>
    </row>
    <row r="196" spans="1:14" ht="20.25" x14ac:dyDescent="0.25">
      <c r="A196" s="10">
        <v>2050</v>
      </c>
      <c r="B196" s="13">
        <f>2875*1.43</f>
        <v>4111.25</v>
      </c>
      <c r="C196" s="18"/>
      <c r="D196" s="19"/>
      <c r="E196" s="15">
        <v>22315</v>
      </c>
      <c r="F196" s="27">
        <v>2318.576</v>
      </c>
      <c r="G196" s="8"/>
      <c r="H196" s="14"/>
      <c r="I196" s="43">
        <v>2002</v>
      </c>
      <c r="J196" s="36">
        <v>656.56</v>
      </c>
      <c r="K196" s="10"/>
      <c r="L196" s="42"/>
      <c r="M196" s="16">
        <v>6316</v>
      </c>
      <c r="N196" s="44">
        <f>1680*1.4</f>
        <v>2352</v>
      </c>
    </row>
    <row r="197" spans="1:14" ht="20.25" x14ac:dyDescent="0.25">
      <c r="A197" s="10">
        <v>2070</v>
      </c>
      <c r="B197" s="14">
        <f>2064*1.43</f>
        <v>2951.52</v>
      </c>
      <c r="C197" s="45"/>
      <c r="D197" s="19"/>
      <c r="E197" s="46">
        <v>22329</v>
      </c>
      <c r="F197" s="47">
        <v>2809</v>
      </c>
      <c r="G197" s="8"/>
      <c r="H197" s="14"/>
      <c r="I197" s="43"/>
      <c r="J197" s="48"/>
      <c r="K197" s="49"/>
      <c r="L197" s="42"/>
      <c r="M197" s="16">
        <v>6322</v>
      </c>
      <c r="N197" s="44">
        <f>2300*1.4</f>
        <v>3220</v>
      </c>
    </row>
    <row r="198" spans="1:14" ht="20.25" x14ac:dyDescent="0.25">
      <c r="A198" s="8"/>
      <c r="B198" s="9"/>
      <c r="C198" s="45"/>
      <c r="D198" s="19"/>
      <c r="E198" s="46" t="s">
        <v>309</v>
      </c>
      <c r="F198" s="47">
        <v>3300</v>
      </c>
      <c r="G198" s="8"/>
      <c r="H198" s="14"/>
      <c r="I198" s="43"/>
      <c r="J198" s="48"/>
      <c r="K198" s="49"/>
      <c r="L198" s="42"/>
      <c r="M198" s="16">
        <v>6330</v>
      </c>
      <c r="N198" s="44">
        <f>2510*1.4</f>
        <v>3514</v>
      </c>
    </row>
    <row r="199" spans="1:14" ht="20.25" x14ac:dyDescent="0.25">
      <c r="A199" s="8"/>
      <c r="B199" s="9"/>
      <c r="C199" s="45"/>
      <c r="D199" s="19"/>
      <c r="E199" s="46">
        <v>22208</v>
      </c>
      <c r="F199" s="47">
        <v>2810</v>
      </c>
      <c r="G199" s="8"/>
      <c r="H199" s="14"/>
      <c r="I199" s="43"/>
      <c r="J199" s="48"/>
      <c r="K199" s="49"/>
      <c r="L199" s="42"/>
      <c r="M199" s="16">
        <v>6331</v>
      </c>
      <c r="N199" s="44">
        <f>3040*1.4</f>
        <v>4256</v>
      </c>
    </row>
    <row r="200" spans="1:14" ht="21" thickBot="1" x14ac:dyDescent="0.3">
      <c r="A200" s="8"/>
      <c r="B200" s="9"/>
      <c r="C200" s="45"/>
      <c r="D200" s="19"/>
      <c r="E200" s="46">
        <v>22260</v>
      </c>
      <c r="F200" s="47">
        <v>2410</v>
      </c>
      <c r="G200" s="8"/>
      <c r="H200" s="14"/>
      <c r="I200" s="43"/>
      <c r="J200" s="48"/>
      <c r="K200" s="49"/>
      <c r="L200" s="42"/>
      <c r="M200" s="16">
        <v>5211</v>
      </c>
      <c r="N200" s="44">
        <f>2090*1.4</f>
        <v>2926</v>
      </c>
    </row>
    <row r="201" spans="1:14" ht="21" thickBot="1" x14ac:dyDescent="0.3">
      <c r="A201" s="8"/>
      <c r="B201" s="9"/>
      <c r="C201" s="45"/>
      <c r="D201" s="19"/>
      <c r="E201" s="46">
        <v>22261</v>
      </c>
      <c r="F201" s="47">
        <v>3300</v>
      </c>
      <c r="G201" s="8"/>
      <c r="H201" s="14"/>
      <c r="I201" s="43"/>
      <c r="J201" s="48"/>
      <c r="K201" s="49"/>
      <c r="L201" s="42"/>
      <c r="M201" s="16">
        <v>4255</v>
      </c>
      <c r="N201" s="44">
        <f>2620*1.4</f>
        <v>3667.9999999999995</v>
      </c>
    </row>
    <row r="202" spans="1:14" ht="21" thickBot="1" x14ac:dyDescent="0.3">
      <c r="A202" s="8"/>
      <c r="B202" s="9"/>
      <c r="C202" s="45"/>
      <c r="D202" s="19"/>
      <c r="E202" s="46">
        <v>101028</v>
      </c>
      <c r="F202" s="47">
        <v>3470</v>
      </c>
      <c r="G202" s="8"/>
      <c r="H202" s="14"/>
      <c r="I202" s="43"/>
      <c r="J202" s="48"/>
      <c r="K202" s="49"/>
      <c r="L202" s="42"/>
      <c r="M202" s="16">
        <v>4254</v>
      </c>
      <c r="N202" s="44">
        <f>2930*1.4</f>
        <v>4102</v>
      </c>
    </row>
    <row r="203" spans="1:14" ht="21" thickBot="1" x14ac:dyDescent="0.3">
      <c r="A203" s="8"/>
      <c r="B203" s="9"/>
      <c r="C203" s="45"/>
      <c r="D203" s="19"/>
      <c r="E203" s="46">
        <v>101011</v>
      </c>
      <c r="F203" s="47">
        <v>2900</v>
      </c>
      <c r="G203" s="8"/>
      <c r="H203" s="14"/>
      <c r="I203" s="43"/>
      <c r="J203" s="48"/>
      <c r="K203" s="49"/>
      <c r="L203" s="42"/>
      <c r="M203" s="16">
        <v>6320</v>
      </c>
      <c r="N203" s="44">
        <f>1530*1.4</f>
        <v>2142</v>
      </c>
    </row>
    <row r="204" spans="1:14" ht="21" thickBot="1" x14ac:dyDescent="0.3">
      <c r="A204" s="8"/>
      <c r="B204" s="9"/>
      <c r="C204" s="45"/>
      <c r="D204" s="19"/>
      <c r="E204" s="46">
        <v>101002</v>
      </c>
      <c r="F204" s="47">
        <v>3000</v>
      </c>
      <c r="G204" s="8"/>
      <c r="H204" s="14"/>
      <c r="I204" s="43"/>
      <c r="J204" s="48"/>
      <c r="K204" s="49"/>
      <c r="L204" s="42"/>
      <c r="M204" s="16">
        <v>4257</v>
      </c>
      <c r="N204" s="44">
        <f>1554*1.4</f>
        <v>2175.6</v>
      </c>
    </row>
    <row r="205" spans="1:14" ht="21" thickBot="1" x14ac:dyDescent="0.3">
      <c r="A205" s="8"/>
      <c r="B205" s="9"/>
      <c r="C205" s="45"/>
      <c r="D205" s="19"/>
      <c r="E205" s="46">
        <v>101003</v>
      </c>
      <c r="F205" s="47">
        <v>3120</v>
      </c>
      <c r="G205" s="8"/>
      <c r="H205" s="14"/>
      <c r="I205" s="43"/>
      <c r="J205" s="48"/>
      <c r="K205" s="49"/>
      <c r="L205" s="42"/>
      <c r="M205" s="16">
        <v>6340</v>
      </c>
      <c r="N205" s="44">
        <v>2856</v>
      </c>
    </row>
    <row r="206" spans="1:14" ht="21" thickBot="1" x14ac:dyDescent="0.3">
      <c r="A206" s="8"/>
      <c r="B206" s="9"/>
      <c r="C206" s="45"/>
      <c r="D206" s="19"/>
      <c r="E206" s="46">
        <v>101058</v>
      </c>
      <c r="F206" s="47">
        <v>2310</v>
      </c>
      <c r="G206" s="8"/>
      <c r="H206" s="14"/>
      <c r="I206" s="43"/>
      <c r="J206" s="48"/>
      <c r="K206" s="49"/>
      <c r="L206" s="42"/>
      <c r="M206" s="16"/>
      <c r="N206" s="44"/>
    </row>
    <row r="207" spans="1:14" ht="21" thickBot="1" x14ac:dyDescent="0.3">
      <c r="A207" s="8"/>
      <c r="B207" s="9"/>
      <c r="C207" s="45"/>
      <c r="D207" s="19"/>
      <c r="E207" s="46">
        <v>101020</v>
      </c>
      <c r="F207" s="47">
        <f>2890*1.16</f>
        <v>3352.3999999999996</v>
      </c>
      <c r="G207" s="8"/>
      <c r="H207" s="14"/>
      <c r="I207" s="43"/>
      <c r="J207" s="48"/>
      <c r="K207" s="49"/>
      <c r="L207" s="42"/>
      <c r="M207" s="16"/>
      <c r="N207" s="44"/>
    </row>
    <row r="208" spans="1:14" ht="21" thickBot="1" x14ac:dyDescent="0.3">
      <c r="A208" s="68"/>
      <c r="B208" s="67"/>
      <c r="C208" s="45"/>
      <c r="D208" s="44"/>
      <c r="E208" s="46">
        <v>101056</v>
      </c>
      <c r="F208" s="47">
        <f>1990*1.16</f>
        <v>2308.3999999999996</v>
      </c>
      <c r="G208" s="8"/>
      <c r="H208" s="14"/>
      <c r="I208" s="43"/>
      <c r="J208" s="48"/>
      <c r="K208" s="49"/>
      <c r="L208" s="42"/>
      <c r="M208" s="16"/>
      <c r="N208" s="44"/>
    </row>
    <row r="209" spans="1:14" ht="27" thickBot="1" x14ac:dyDescent="0.3">
      <c r="A209" s="162"/>
      <c r="B209" s="160"/>
      <c r="C209" s="160"/>
      <c r="D209" s="161"/>
      <c r="E209" s="153" t="s">
        <v>310</v>
      </c>
      <c r="F209" s="153" t="s">
        <v>311</v>
      </c>
      <c r="G209" s="153" t="s">
        <v>312</v>
      </c>
      <c r="H209" s="153" t="s">
        <v>312</v>
      </c>
      <c r="I209" s="154" t="s">
        <v>311</v>
      </c>
      <c r="J209" s="154" t="s">
        <v>311</v>
      </c>
      <c r="K209" s="155" t="s">
        <v>313</v>
      </c>
      <c r="L209" s="155"/>
      <c r="M209" s="25"/>
      <c r="N209" s="50"/>
    </row>
    <row r="210" spans="1:14" ht="21" thickBot="1" x14ac:dyDescent="0.3">
      <c r="A210" s="156"/>
      <c r="B210" s="157"/>
      <c r="C210" s="158"/>
      <c r="D210" s="159"/>
      <c r="E210" s="3" t="s">
        <v>36</v>
      </c>
      <c r="F210" s="6" t="s">
        <v>10</v>
      </c>
      <c r="G210" s="5" t="s">
        <v>36</v>
      </c>
      <c r="H210" s="5" t="s">
        <v>36</v>
      </c>
      <c r="I210" s="5" t="s">
        <v>36</v>
      </c>
      <c r="J210" s="6" t="s">
        <v>10</v>
      </c>
      <c r="K210" s="5" t="s">
        <v>36</v>
      </c>
      <c r="L210" s="5" t="s">
        <v>36</v>
      </c>
      <c r="M210" s="25"/>
      <c r="N210" s="50"/>
    </row>
    <row r="211" spans="1:14" ht="21" thickBot="1" x14ac:dyDescent="0.3">
      <c r="A211" s="8"/>
      <c r="B211" s="9"/>
      <c r="C211" s="49"/>
      <c r="D211" s="13"/>
      <c r="E211" s="46">
        <v>4115</v>
      </c>
      <c r="F211" s="47">
        <f>1158*1.4</f>
        <v>1621.1999999999998</v>
      </c>
      <c r="G211" s="8">
        <v>1290</v>
      </c>
      <c r="H211" s="14">
        <f>1562*1.4</f>
        <v>2186.7999999999997</v>
      </c>
      <c r="I211" s="10">
        <v>1610</v>
      </c>
      <c r="J211" s="14">
        <f>951*1.4</f>
        <v>1331.3999999999999</v>
      </c>
      <c r="K211" s="49">
        <v>1000</v>
      </c>
      <c r="L211" s="42">
        <f>827*1.4</f>
        <v>1157.8</v>
      </c>
      <c r="M211" s="16"/>
      <c r="N211" s="44"/>
    </row>
    <row r="212" spans="1:14" ht="20.25" x14ac:dyDescent="0.25">
      <c r="A212" s="8"/>
      <c r="B212" s="9"/>
      <c r="C212" s="49"/>
      <c r="D212" s="13"/>
      <c r="E212" s="46">
        <v>4140</v>
      </c>
      <c r="F212" s="111">
        <v>924.75</v>
      </c>
      <c r="G212" s="8">
        <v>1300</v>
      </c>
      <c r="H212" s="14">
        <f>1067*1.4</f>
        <v>1493.8</v>
      </c>
      <c r="I212" s="10">
        <v>1640</v>
      </c>
      <c r="J212" s="14">
        <f>843*1.4</f>
        <v>1180.1999999999998</v>
      </c>
      <c r="K212" s="49">
        <v>1008</v>
      </c>
      <c r="L212" s="42">
        <f>809*1.4</f>
        <v>1132.5999999999999</v>
      </c>
      <c r="M212" s="16"/>
      <c r="N212" s="44"/>
    </row>
    <row r="213" spans="1:14" ht="20.25" x14ac:dyDescent="0.25">
      <c r="A213" s="8"/>
      <c r="B213" s="9"/>
      <c r="C213" s="49"/>
      <c r="D213" s="13"/>
      <c r="E213" s="46">
        <v>4160</v>
      </c>
      <c r="F213" s="111">
        <f>969*1.4</f>
        <v>1356.6</v>
      </c>
      <c r="G213" s="8">
        <v>1325</v>
      </c>
      <c r="H213" s="14">
        <f>1560*1.4</f>
        <v>2184</v>
      </c>
      <c r="I213" s="10">
        <v>3720</v>
      </c>
      <c r="J213" s="14">
        <f>1534*1.4</f>
        <v>2147.6</v>
      </c>
      <c r="K213" s="49">
        <v>2000</v>
      </c>
      <c r="L213" s="42">
        <f>938*1.4</f>
        <v>1313.1999999999998</v>
      </c>
      <c r="M213" s="16"/>
      <c r="N213" s="44"/>
    </row>
    <row r="214" spans="1:14" ht="20.25" x14ac:dyDescent="0.25">
      <c r="A214" s="8"/>
      <c r="B214" s="9"/>
      <c r="C214" s="49"/>
      <c r="D214" s="13"/>
      <c r="E214" s="46">
        <v>4163</v>
      </c>
      <c r="F214" s="111">
        <f>901*1.4</f>
        <v>1261.3999999999999</v>
      </c>
      <c r="G214" s="8">
        <v>1327</v>
      </c>
      <c r="H214" s="14">
        <f>1549*1.4</f>
        <v>2168.6</v>
      </c>
      <c r="I214" s="10">
        <v>3760</v>
      </c>
      <c r="J214" s="14">
        <f>1492*1.4</f>
        <v>2088.7999999999997</v>
      </c>
      <c r="K214" s="49">
        <v>2001</v>
      </c>
      <c r="L214" s="42">
        <f>840*1.4</f>
        <v>1176</v>
      </c>
      <c r="M214" s="16"/>
      <c r="N214" s="44"/>
    </row>
    <row r="215" spans="1:14" ht="20.25" x14ac:dyDescent="0.25">
      <c r="A215" s="8"/>
      <c r="B215" s="9"/>
      <c r="C215" s="49"/>
      <c r="D215" s="13"/>
      <c r="E215" s="46">
        <v>4170</v>
      </c>
      <c r="F215" s="111">
        <f>949*1.4</f>
        <v>1328.6</v>
      </c>
      <c r="G215" s="8">
        <v>1332</v>
      </c>
      <c r="H215" s="14">
        <f>1684*1.4</f>
        <v>2357.6</v>
      </c>
      <c r="I215" s="10">
        <v>3765</v>
      </c>
      <c r="J215" s="14">
        <f>1638*1.4</f>
        <v>2293.1999999999998</v>
      </c>
      <c r="K215" s="49">
        <v>2003</v>
      </c>
      <c r="L215" s="42">
        <f>961*1.4</f>
        <v>1345.3999999999999</v>
      </c>
      <c r="M215" s="16"/>
      <c r="N215" s="44"/>
    </row>
    <row r="216" spans="1:14" ht="20.25" x14ac:dyDescent="0.25">
      <c r="A216" s="8"/>
      <c r="B216" s="9"/>
      <c r="C216" s="49"/>
      <c r="D216" s="13"/>
      <c r="E216" s="46">
        <v>4175</v>
      </c>
      <c r="F216" s="111">
        <f>1156*1.4</f>
        <v>1618.3999999999999</v>
      </c>
      <c r="G216" s="8">
        <v>1334</v>
      </c>
      <c r="H216" s="14">
        <f>1492*1.4</f>
        <v>2088.7999999999997</v>
      </c>
      <c r="I216" s="10">
        <v>3770</v>
      </c>
      <c r="J216" s="14">
        <f>1490*1.4</f>
        <v>2086</v>
      </c>
      <c r="K216" s="49">
        <v>2005</v>
      </c>
      <c r="L216" s="42">
        <f>894*1.4</f>
        <v>1251.5999999999999</v>
      </c>
      <c r="M216" s="16"/>
      <c r="N216" s="44"/>
    </row>
    <row r="217" spans="1:14" ht="20.25" x14ac:dyDescent="0.25">
      <c r="A217" s="8"/>
      <c r="B217" s="9"/>
      <c r="C217" s="49"/>
      <c r="D217" s="13"/>
      <c r="E217" s="46">
        <v>4190</v>
      </c>
      <c r="F217" s="111">
        <f>952*1.4</f>
        <v>1332.8</v>
      </c>
      <c r="G217" s="8">
        <v>1335</v>
      </c>
      <c r="H217" s="14">
        <f>1645*1.4</f>
        <v>2303</v>
      </c>
      <c r="I217" s="10">
        <v>3773</v>
      </c>
      <c r="J217" s="14">
        <f>1406*1.4</f>
        <v>1968.3999999999999</v>
      </c>
      <c r="K217" s="49">
        <v>2008</v>
      </c>
      <c r="L217" s="42">
        <f>880*1.4</f>
        <v>1232</v>
      </c>
      <c r="M217" s="16"/>
      <c r="N217" s="44"/>
    </row>
    <row r="218" spans="1:14" ht="20.25" x14ac:dyDescent="0.25">
      <c r="A218" s="8"/>
      <c r="B218" s="9"/>
      <c r="C218" s="49"/>
      <c r="D218" s="13"/>
      <c r="E218" s="46">
        <v>4195</v>
      </c>
      <c r="F218" s="111">
        <f>1049*1.4</f>
        <v>1468.6</v>
      </c>
      <c r="G218" s="8">
        <v>1336</v>
      </c>
      <c r="H218" s="14">
        <f>1794*1.4</f>
        <v>2511.6</v>
      </c>
      <c r="I218" s="10">
        <v>3778</v>
      </c>
      <c r="J218" s="14">
        <f>1489*1.4</f>
        <v>2084.6</v>
      </c>
      <c r="K218" s="49">
        <v>2011</v>
      </c>
      <c r="L218" s="42">
        <f>874*1.4</f>
        <v>1223.5999999999999</v>
      </c>
      <c r="M218" s="16"/>
      <c r="N218" s="44"/>
    </row>
    <row r="219" spans="1:14" ht="20.25" x14ac:dyDescent="0.25">
      <c r="A219" s="8"/>
      <c r="B219" s="9"/>
      <c r="C219" s="49"/>
      <c r="D219" s="13"/>
      <c r="E219" s="46">
        <v>4265</v>
      </c>
      <c r="F219" s="111">
        <v>1179.9000000000001</v>
      </c>
      <c r="G219" s="8">
        <v>1338</v>
      </c>
      <c r="H219" s="14">
        <f>1560*1.4</f>
        <v>2184</v>
      </c>
      <c r="I219" s="10">
        <v>3787</v>
      </c>
      <c r="J219" s="14">
        <f>1506*1.4</f>
        <v>2108.4</v>
      </c>
      <c r="K219" s="49">
        <v>2012</v>
      </c>
      <c r="L219" s="42">
        <f>923*1.4</f>
        <v>1292.1999999999998</v>
      </c>
      <c r="M219" s="16"/>
      <c r="N219" s="44"/>
    </row>
    <row r="220" spans="1:14" ht="20.25" x14ac:dyDescent="0.25">
      <c r="A220" s="8"/>
      <c r="B220" s="9"/>
      <c r="C220" s="49"/>
      <c r="D220" s="13"/>
      <c r="E220" s="46">
        <v>4295</v>
      </c>
      <c r="F220" s="111">
        <v>1155.5999999999999</v>
      </c>
      <c r="G220" s="8">
        <v>1341</v>
      </c>
      <c r="H220" s="14">
        <f>1340*1.4</f>
        <v>1875.9999999999998</v>
      </c>
      <c r="I220" s="10">
        <v>3790</v>
      </c>
      <c r="J220" s="14">
        <f>1522*1.4</f>
        <v>2130.7999999999997</v>
      </c>
      <c r="K220" s="49">
        <v>2017</v>
      </c>
      <c r="L220" s="42">
        <f>891*1.4</f>
        <v>1247.3999999999999</v>
      </c>
      <c r="M220" s="16"/>
      <c r="N220" s="44"/>
    </row>
    <row r="221" spans="1:14" ht="20.25" x14ac:dyDescent="0.25">
      <c r="A221" s="8"/>
      <c r="B221" s="9"/>
      <c r="C221" s="45"/>
      <c r="D221" s="19"/>
      <c r="E221" s="46">
        <v>4325</v>
      </c>
      <c r="F221" s="111">
        <v>1351.35</v>
      </c>
      <c r="G221" s="8">
        <v>1565</v>
      </c>
      <c r="H221" s="14">
        <f>1500*1.4</f>
        <v>2100</v>
      </c>
      <c r="I221" s="10">
        <v>4145</v>
      </c>
      <c r="J221" s="14">
        <f>1559*1.4</f>
        <v>2182.6</v>
      </c>
      <c r="K221" s="49">
        <v>2018</v>
      </c>
      <c r="L221" s="42">
        <f>873*1.4</f>
        <v>1222.1999999999998</v>
      </c>
      <c r="M221" s="16"/>
      <c r="N221" s="44"/>
    </row>
    <row r="222" spans="1:14" ht="20.25" x14ac:dyDescent="0.25">
      <c r="A222" s="8"/>
      <c r="B222" s="9"/>
      <c r="C222" s="45"/>
      <c r="D222" s="19"/>
      <c r="E222" s="46">
        <v>4356</v>
      </c>
      <c r="F222" s="111">
        <f>1305*1.4</f>
        <v>1826.9999999999998</v>
      </c>
      <c r="G222" s="8">
        <v>1572</v>
      </c>
      <c r="H222" s="14">
        <f>1836*1.4</f>
        <v>2570.3999999999996</v>
      </c>
      <c r="I222" s="10">
        <v>4155</v>
      </c>
      <c r="J222" s="14">
        <f>1463*1.4</f>
        <v>2048.1999999999998</v>
      </c>
      <c r="K222" s="49">
        <v>2022</v>
      </c>
      <c r="L222" s="42">
        <f>955*1.4</f>
        <v>1337</v>
      </c>
      <c r="M222" s="16"/>
      <c r="N222" s="44"/>
    </row>
    <row r="223" spans="1:14" ht="20.25" x14ac:dyDescent="0.25">
      <c r="A223" s="8"/>
      <c r="B223" s="9"/>
      <c r="C223" s="45"/>
      <c r="D223" s="19"/>
      <c r="E223" s="46">
        <v>4385</v>
      </c>
      <c r="F223" s="111">
        <f>1286*1.4</f>
        <v>1800.3999999999999</v>
      </c>
      <c r="G223" s="8">
        <v>1730</v>
      </c>
      <c r="H223" s="14">
        <f>1541*1.4</f>
        <v>2157.3999999999996</v>
      </c>
      <c r="I223" s="10">
        <v>4210</v>
      </c>
      <c r="J223" s="14">
        <f>1343*1.4</f>
        <v>1880.1999999999998</v>
      </c>
      <c r="K223" s="49">
        <v>2023</v>
      </c>
      <c r="L223" s="42">
        <f>923*1.4</f>
        <v>1292.1999999999998</v>
      </c>
      <c r="M223" s="16"/>
      <c r="N223" s="44"/>
    </row>
    <row r="224" spans="1:14" ht="20.25" x14ac:dyDescent="0.25">
      <c r="A224" s="8"/>
      <c r="B224" s="9"/>
      <c r="C224" s="45"/>
      <c r="D224" s="19"/>
      <c r="E224" s="46">
        <v>4405</v>
      </c>
      <c r="F224" s="47">
        <f>1176*1.4</f>
        <v>1646.3999999999999</v>
      </c>
      <c r="G224" s="8">
        <v>1850</v>
      </c>
      <c r="H224" s="14">
        <f>1534*1.4</f>
        <v>2147.6</v>
      </c>
      <c r="I224" s="10">
        <v>4221</v>
      </c>
      <c r="J224" s="14">
        <f>1559*1.4</f>
        <v>2182.6</v>
      </c>
      <c r="K224" s="49">
        <v>2024</v>
      </c>
      <c r="L224" s="42">
        <f>996*1.4</f>
        <v>1394.3999999999999</v>
      </c>
      <c r="M224" s="16"/>
      <c r="N224" s="44"/>
    </row>
    <row r="225" spans="1:14" ht="20.25" x14ac:dyDescent="0.25">
      <c r="A225" s="8"/>
      <c r="B225" s="9"/>
      <c r="C225" s="45"/>
      <c r="D225" s="19"/>
      <c r="E225" s="46">
        <v>4410</v>
      </c>
      <c r="F225" s="47">
        <f>1238*1.4</f>
        <v>1733.1999999999998</v>
      </c>
      <c r="G225" s="8">
        <v>1905</v>
      </c>
      <c r="H225" s="14">
        <f>1415*1.4</f>
        <v>1980.9999999999998</v>
      </c>
      <c r="I225" s="10">
        <v>4450</v>
      </c>
      <c r="J225" s="14">
        <f>1237*1.4</f>
        <v>1731.8</v>
      </c>
      <c r="K225" s="49">
        <v>2042</v>
      </c>
      <c r="L225" s="42">
        <f>1037*1.4</f>
        <v>1451.8</v>
      </c>
      <c r="M225" s="16"/>
      <c r="N225" s="44"/>
    </row>
    <row r="226" spans="1:14" ht="20.25" x14ac:dyDescent="0.25">
      <c r="A226" s="8"/>
      <c r="B226" s="9"/>
      <c r="C226" s="45"/>
      <c r="D226" s="19"/>
      <c r="E226" s="46">
        <v>4415</v>
      </c>
      <c r="F226" s="47">
        <f>871*1.4</f>
        <v>1219.3999999999999</v>
      </c>
      <c r="G226" s="8">
        <v>1921</v>
      </c>
      <c r="H226" s="14">
        <f>1397*1.4</f>
        <v>1955.8</v>
      </c>
      <c r="I226" s="10">
        <v>4460</v>
      </c>
      <c r="J226" s="14">
        <f>1528*1.4</f>
        <v>2139.1999999999998</v>
      </c>
      <c r="K226" s="49">
        <v>2043</v>
      </c>
      <c r="L226" s="42">
        <f>1100*1.4</f>
        <v>1540</v>
      </c>
      <c r="M226" s="16"/>
      <c r="N226" s="44"/>
    </row>
    <row r="227" spans="1:14" ht="20.25" x14ac:dyDescent="0.25">
      <c r="A227" s="8"/>
      <c r="B227" s="9"/>
      <c r="C227" s="45"/>
      <c r="D227" s="19"/>
      <c r="E227" s="46">
        <v>4435</v>
      </c>
      <c r="F227" s="47">
        <f>1271*1.4</f>
        <v>1779.3999999999999</v>
      </c>
      <c r="G227" s="8">
        <v>1922</v>
      </c>
      <c r="H227" s="14">
        <f>1684*1.4</f>
        <v>2357.6</v>
      </c>
      <c r="I227" s="10">
        <v>5501</v>
      </c>
      <c r="J227" s="14">
        <f>1400*1.4</f>
        <v>1959.9999999999998</v>
      </c>
      <c r="K227" s="49">
        <v>2044</v>
      </c>
      <c r="L227" s="42">
        <f>1004*1.4</f>
        <v>1405.6</v>
      </c>
      <c r="M227" s="16"/>
      <c r="N227" s="44"/>
    </row>
    <row r="228" spans="1:14" ht="20.25" x14ac:dyDescent="0.25">
      <c r="A228" s="8"/>
      <c r="B228" s="9"/>
      <c r="C228" s="45"/>
      <c r="D228" s="19"/>
      <c r="E228" s="46">
        <v>4650</v>
      </c>
      <c r="F228" s="47">
        <f>1067*1.4</f>
        <v>1493.8</v>
      </c>
      <c r="G228" s="8">
        <v>1925</v>
      </c>
      <c r="H228" s="14">
        <f>1695*1.4</f>
        <v>2373</v>
      </c>
      <c r="I228" s="10">
        <v>6043</v>
      </c>
      <c r="J228" s="14">
        <f>1569*1.4</f>
        <v>2196.6</v>
      </c>
      <c r="K228" s="49">
        <v>2045</v>
      </c>
      <c r="L228" s="42">
        <f>1117*1.4</f>
        <v>1563.8</v>
      </c>
      <c r="M228" s="16"/>
      <c r="N228" s="44"/>
    </row>
    <row r="229" spans="1:14" ht="20.25" x14ac:dyDescent="0.25">
      <c r="A229" s="8"/>
      <c r="B229" s="9"/>
      <c r="C229" s="45"/>
      <c r="D229" s="19"/>
      <c r="E229" s="46">
        <v>4680</v>
      </c>
      <c r="F229" s="47">
        <f>1125*1.4</f>
        <v>1575</v>
      </c>
      <c r="G229" s="8">
        <v>1933</v>
      </c>
      <c r="H229" s="14">
        <f>1583*1.4</f>
        <v>2216.1999999999998</v>
      </c>
      <c r="I229" s="10">
        <v>6050</v>
      </c>
      <c r="J229" s="14">
        <f>1407*1.4</f>
        <v>1969.8</v>
      </c>
      <c r="K229" s="49">
        <v>2046</v>
      </c>
      <c r="L229" s="42">
        <f>1063*1.4</f>
        <v>1488.1999999999998</v>
      </c>
      <c r="M229" s="16"/>
      <c r="N229" s="44"/>
    </row>
    <row r="230" spans="1:14" ht="20.25" x14ac:dyDescent="0.25">
      <c r="A230" s="8"/>
      <c r="B230" s="9"/>
      <c r="C230" s="45"/>
      <c r="D230" s="19"/>
      <c r="E230" s="46">
        <v>5135</v>
      </c>
      <c r="F230" s="47">
        <f>1090*1.4</f>
        <v>1526</v>
      </c>
      <c r="G230" s="8">
        <v>1936</v>
      </c>
      <c r="H230" s="14">
        <f>1820*1.4</f>
        <v>2548</v>
      </c>
      <c r="I230" s="10">
        <v>6070</v>
      </c>
      <c r="J230" s="14">
        <f>1147*1.4</f>
        <v>1605.8</v>
      </c>
      <c r="K230" s="49">
        <v>2047</v>
      </c>
      <c r="L230" s="42">
        <f>1004*1.4</f>
        <v>1405.6</v>
      </c>
      <c r="M230" s="16"/>
      <c r="N230" s="44"/>
    </row>
    <row r="231" spans="1:14" ht="20.25" x14ac:dyDescent="0.25">
      <c r="A231" s="8"/>
      <c r="B231" s="9"/>
      <c r="C231" s="45"/>
      <c r="D231" s="19"/>
      <c r="E231" s="46">
        <v>5150</v>
      </c>
      <c r="F231" s="47">
        <f>1150*1.4</f>
        <v>1610</v>
      </c>
      <c r="G231" s="8">
        <v>1943</v>
      </c>
      <c r="H231" s="14">
        <f>1935*1.4</f>
        <v>2709</v>
      </c>
      <c r="I231" s="10">
        <v>6075</v>
      </c>
      <c r="J231" s="14">
        <f>1080*1.4</f>
        <v>1512</v>
      </c>
      <c r="K231" s="49">
        <v>2048</v>
      </c>
      <c r="L231" s="42">
        <f>1068*1.4</f>
        <v>1495.1999999999998</v>
      </c>
      <c r="M231" s="16"/>
      <c r="N231" s="44"/>
    </row>
    <row r="232" spans="1:14" ht="20.25" x14ac:dyDescent="0.25">
      <c r="A232" s="8"/>
      <c r="B232" s="9"/>
      <c r="C232" s="45"/>
      <c r="D232" s="19"/>
      <c r="E232" s="46">
        <v>5160</v>
      </c>
      <c r="F232" s="47">
        <f>1296*1.4</f>
        <v>1814.3999999999999</v>
      </c>
      <c r="G232" s="8">
        <v>1979</v>
      </c>
      <c r="H232" s="14">
        <f>1470*1.4</f>
        <v>2058</v>
      </c>
      <c r="I232" s="10">
        <v>6076</v>
      </c>
      <c r="J232" s="14">
        <f>1193*1.4</f>
        <v>1670.1999999999998</v>
      </c>
      <c r="K232" s="49">
        <v>2057</v>
      </c>
      <c r="L232" s="42">
        <f>1113*1.4</f>
        <v>1558.1999999999998</v>
      </c>
      <c r="M232" s="16"/>
      <c r="N232" s="44"/>
    </row>
    <row r="233" spans="1:14" ht="20.25" x14ac:dyDescent="0.25">
      <c r="A233" s="8"/>
      <c r="B233" s="9"/>
      <c r="C233" s="45"/>
      <c r="D233" s="19"/>
      <c r="E233" s="112">
        <v>5165</v>
      </c>
      <c r="F233" s="111">
        <f>1458*1.4</f>
        <v>2041.1999999999998</v>
      </c>
      <c r="G233" s="113">
        <v>1981</v>
      </c>
      <c r="H233" s="114">
        <f>1652*1.4</f>
        <v>2312.7999999999997</v>
      </c>
      <c r="I233" s="62">
        <v>6080</v>
      </c>
      <c r="J233" s="14">
        <f>1136*1.4</f>
        <v>1590.3999999999999</v>
      </c>
      <c r="K233" s="49">
        <v>2059</v>
      </c>
      <c r="L233" s="42">
        <f>1096*1.4</f>
        <v>1534.3999999999999</v>
      </c>
      <c r="M233" s="16"/>
      <c r="N233" s="44"/>
    </row>
    <row r="234" spans="1:14" ht="20.25" x14ac:dyDescent="0.25">
      <c r="A234" s="8"/>
      <c r="B234" s="9"/>
      <c r="C234" s="45"/>
      <c r="D234" s="19"/>
      <c r="E234" s="112">
        <v>5265</v>
      </c>
      <c r="F234" s="111">
        <v>1282.5</v>
      </c>
      <c r="G234" s="113">
        <v>1991</v>
      </c>
      <c r="H234" s="114">
        <f>1667*1.4</f>
        <v>2333.7999999999997</v>
      </c>
      <c r="I234" s="62">
        <v>6081</v>
      </c>
      <c r="J234" s="14">
        <f>1352*1.4</f>
        <v>1892.8</v>
      </c>
      <c r="K234" s="49">
        <v>2066</v>
      </c>
      <c r="L234" s="42">
        <f>1069*1.4</f>
        <v>1496.6</v>
      </c>
      <c r="M234" s="16"/>
      <c r="N234" s="44"/>
    </row>
    <row r="235" spans="1:14" ht="20.25" x14ac:dyDescent="0.25">
      <c r="A235" s="8"/>
      <c r="B235" s="9"/>
      <c r="C235" s="45"/>
      <c r="D235" s="19"/>
      <c r="E235" s="112">
        <v>5295</v>
      </c>
      <c r="F235" s="111">
        <v>1273.05</v>
      </c>
      <c r="G235" s="113">
        <v>5800</v>
      </c>
      <c r="H235" s="114">
        <f>1444*1.4</f>
        <v>2021.6</v>
      </c>
      <c r="I235" s="62">
        <v>6083</v>
      </c>
      <c r="J235" s="14">
        <f>1317*1.4</f>
        <v>1843.8</v>
      </c>
      <c r="K235" s="49">
        <v>2071</v>
      </c>
      <c r="L235" s="42">
        <f>1078*1.4</f>
        <v>1509.1999999999998</v>
      </c>
      <c r="M235" s="16"/>
      <c r="N235" s="44"/>
    </row>
    <row r="236" spans="1:14" ht="20.25" x14ac:dyDescent="0.25">
      <c r="A236" s="8"/>
      <c r="B236" s="9"/>
      <c r="C236" s="45"/>
      <c r="D236" s="19"/>
      <c r="E236" s="112">
        <v>5415</v>
      </c>
      <c r="F236" s="111">
        <f>782*1.4</f>
        <v>1094.8</v>
      </c>
      <c r="G236" s="113">
        <v>5833</v>
      </c>
      <c r="H236" s="114">
        <f>1600*1.4</f>
        <v>2240</v>
      </c>
      <c r="I236" s="62">
        <v>6085</v>
      </c>
      <c r="J236" s="14">
        <f>1377*1.4</f>
        <v>1927.8</v>
      </c>
      <c r="K236" s="49">
        <v>3163</v>
      </c>
      <c r="L236" s="42">
        <f>1419*1.4</f>
        <v>1986.6</v>
      </c>
      <c r="M236" s="16"/>
      <c r="N236" s="44"/>
    </row>
    <row r="237" spans="1:14" ht="20.25" x14ac:dyDescent="0.25">
      <c r="A237" s="8"/>
      <c r="B237" s="9"/>
      <c r="C237" s="45"/>
      <c r="D237" s="19"/>
      <c r="E237" s="112">
        <v>5510</v>
      </c>
      <c r="F237" s="111">
        <f>800*1.4</f>
        <v>1120</v>
      </c>
      <c r="G237" s="113">
        <v>5836</v>
      </c>
      <c r="H237" s="114">
        <f>1612*1.4</f>
        <v>2256.7999999999997</v>
      </c>
      <c r="I237" s="62">
        <v>6086</v>
      </c>
      <c r="J237" s="14">
        <f>1565*1.4</f>
        <v>2191</v>
      </c>
      <c r="K237" s="49">
        <v>3166</v>
      </c>
      <c r="L237" s="42">
        <f>1435*1.4</f>
        <v>2008.9999999999998</v>
      </c>
      <c r="M237" s="16"/>
      <c r="N237" s="44"/>
    </row>
    <row r="238" spans="1:14" ht="20.25" x14ac:dyDescent="0.25">
      <c r="A238" s="8"/>
      <c r="B238" s="9"/>
      <c r="C238" s="45"/>
      <c r="D238" s="19"/>
      <c r="E238" s="112">
        <v>5700</v>
      </c>
      <c r="F238" s="111">
        <f>944*1.4</f>
        <v>1321.6</v>
      </c>
      <c r="G238" s="113">
        <v>7501</v>
      </c>
      <c r="H238" s="114">
        <f>1119*1.4</f>
        <v>1566.6</v>
      </c>
      <c r="I238" s="62">
        <v>7801</v>
      </c>
      <c r="J238" s="14">
        <f>1167*1.4</f>
        <v>1633.8</v>
      </c>
      <c r="K238" s="49">
        <v>4042</v>
      </c>
      <c r="L238" s="42">
        <f>552*1.4</f>
        <v>772.8</v>
      </c>
      <c r="M238" s="16"/>
      <c r="N238" s="44"/>
    </row>
    <row r="239" spans="1:14" ht="20.25" x14ac:dyDescent="0.25">
      <c r="A239" s="8"/>
      <c r="B239" s="9"/>
      <c r="C239" s="45"/>
      <c r="D239" s="19"/>
      <c r="E239" s="112">
        <v>5825</v>
      </c>
      <c r="F239" s="111">
        <f>1183*1.4</f>
        <v>1656.1999999999998</v>
      </c>
      <c r="G239" s="113">
        <v>7505</v>
      </c>
      <c r="H239" s="114">
        <f>2079*1.4</f>
        <v>2910.6</v>
      </c>
      <c r="I239" s="62">
        <v>8210</v>
      </c>
      <c r="J239" s="14">
        <f>1083*1.4</f>
        <v>1516.1999999999998</v>
      </c>
      <c r="K239" s="49">
        <v>4043</v>
      </c>
      <c r="L239" s="42">
        <f>587*1.4</f>
        <v>821.8</v>
      </c>
      <c r="M239" s="16"/>
      <c r="N239" s="44"/>
    </row>
    <row r="240" spans="1:14" ht="20.25" x14ac:dyDescent="0.25">
      <c r="A240" s="8"/>
      <c r="B240" s="9"/>
      <c r="C240" s="45"/>
      <c r="D240" s="19"/>
      <c r="E240" s="112">
        <v>6150</v>
      </c>
      <c r="F240" s="111">
        <f>607*1.4</f>
        <v>849.8</v>
      </c>
      <c r="G240" s="113">
        <v>7560</v>
      </c>
      <c r="H240" s="114">
        <f>1596*1.4</f>
        <v>2234.3999999999996</v>
      </c>
      <c r="I240" s="62">
        <v>8450</v>
      </c>
      <c r="J240" s="14">
        <f>898*1.4</f>
        <v>1257.1999999999998</v>
      </c>
      <c r="K240" s="49">
        <v>4044</v>
      </c>
      <c r="L240" s="42">
        <f>552*1.4</f>
        <v>772.8</v>
      </c>
      <c r="M240" s="16"/>
      <c r="N240" s="44"/>
    </row>
    <row r="241" spans="1:14" ht="20.25" x14ac:dyDescent="0.25">
      <c r="A241" s="8"/>
      <c r="B241" s="9"/>
      <c r="C241" s="45"/>
      <c r="D241" s="19"/>
      <c r="E241" s="112">
        <v>6295</v>
      </c>
      <c r="F241" s="111">
        <v>885.6</v>
      </c>
      <c r="G241" s="113">
        <v>7600</v>
      </c>
      <c r="H241" s="114">
        <f>1305*1.4</f>
        <v>1826.9999999999998</v>
      </c>
      <c r="I241" s="62">
        <v>8540</v>
      </c>
      <c r="J241" s="14">
        <f>925*1.4</f>
        <v>1295</v>
      </c>
      <c r="K241" s="49">
        <v>4047</v>
      </c>
      <c r="L241" s="42">
        <v>773</v>
      </c>
      <c r="M241" s="16"/>
      <c r="N241" s="44"/>
    </row>
    <row r="242" spans="1:14" ht="20.25" x14ac:dyDescent="0.25">
      <c r="A242" s="8"/>
      <c r="B242" s="9"/>
      <c r="C242" s="45"/>
      <c r="D242" s="19"/>
      <c r="E242" s="112">
        <v>4178</v>
      </c>
      <c r="F242" s="111">
        <f>1121*1.4</f>
        <v>1569.3999999999999</v>
      </c>
      <c r="G242" s="113">
        <v>8501</v>
      </c>
      <c r="H242" s="114">
        <f>1135*1.4</f>
        <v>1589</v>
      </c>
      <c r="I242" s="62">
        <v>8710</v>
      </c>
      <c r="J242" s="14">
        <f>1121*1.4</f>
        <v>1569.3999999999999</v>
      </c>
      <c r="K242" s="49"/>
      <c r="L242" s="42"/>
      <c r="M242" s="16"/>
      <c r="N242" s="44"/>
    </row>
    <row r="243" spans="1:14" ht="21" thickBot="1" x14ac:dyDescent="0.3">
      <c r="A243" s="8"/>
      <c r="B243" s="9"/>
      <c r="C243" s="45"/>
      <c r="D243" s="19"/>
      <c r="E243" s="112">
        <v>4220</v>
      </c>
      <c r="F243" s="111">
        <f>957*1.4</f>
        <v>1339.8</v>
      </c>
      <c r="G243" s="113"/>
      <c r="H243" s="114"/>
      <c r="I243" s="62">
        <v>8743</v>
      </c>
      <c r="J243" s="14">
        <f>1427*1.4</f>
        <v>1997.8</v>
      </c>
      <c r="K243" s="49"/>
      <c r="L243" s="42"/>
      <c r="M243" s="16"/>
      <c r="N243" s="44"/>
    </row>
    <row r="244" spans="1:14" ht="21" thickBot="1" x14ac:dyDescent="0.3">
      <c r="A244" s="16"/>
      <c r="B244" s="9"/>
      <c r="C244" s="18"/>
      <c r="D244" s="19"/>
      <c r="E244" s="62">
        <v>4270</v>
      </c>
      <c r="F244" s="63">
        <f>994*1.4</f>
        <v>1391.6</v>
      </c>
      <c r="G244" s="113"/>
      <c r="H244" s="114"/>
      <c r="I244" s="62">
        <v>8760</v>
      </c>
      <c r="J244" s="14">
        <f>1564*1.4</f>
        <v>2189.6</v>
      </c>
      <c r="K244" s="49"/>
      <c r="L244" s="42"/>
      <c r="M244" s="16"/>
      <c r="N244" s="44"/>
    </row>
    <row r="245" spans="1:14" ht="21" thickBot="1" x14ac:dyDescent="0.3">
      <c r="A245" s="66"/>
      <c r="B245" s="67"/>
      <c r="C245" s="45"/>
      <c r="D245" s="44"/>
      <c r="E245" s="115">
        <v>5360</v>
      </c>
      <c r="F245" s="116">
        <f>1508*1.4</f>
        <v>2111.1999999999998</v>
      </c>
      <c r="G245" s="117"/>
      <c r="H245" s="118"/>
      <c r="I245" s="115"/>
      <c r="J245" s="69"/>
      <c r="K245" s="49"/>
      <c r="L245" s="70"/>
      <c r="M245" s="66"/>
      <c r="N245" s="44"/>
    </row>
    <row r="246" spans="1:14" ht="21" thickBot="1" x14ac:dyDescent="0.3">
      <c r="A246" s="71"/>
      <c r="B246" s="71"/>
      <c r="C246" s="71"/>
      <c r="D246" s="71"/>
      <c r="E246" s="46">
        <v>5366</v>
      </c>
      <c r="F246" s="14">
        <f>1285*1.4</f>
        <v>1798.9999999999998</v>
      </c>
      <c r="G246" s="71"/>
      <c r="H246" s="71"/>
      <c r="I246" s="71"/>
      <c r="J246" s="71"/>
      <c r="K246" s="71"/>
      <c r="L246" s="71"/>
      <c r="M246" s="71"/>
      <c r="N246" s="71"/>
    </row>
    <row r="247" spans="1:14" ht="21" thickBot="1" x14ac:dyDescent="0.3">
      <c r="A247" s="71"/>
      <c r="B247" s="71"/>
      <c r="C247" s="71"/>
      <c r="D247" s="71"/>
      <c r="E247" s="46">
        <v>5370</v>
      </c>
      <c r="F247" s="14">
        <f>1355*1.4</f>
        <v>1896.9999999999998</v>
      </c>
      <c r="G247" s="71"/>
      <c r="H247" s="71"/>
      <c r="I247" s="71"/>
      <c r="J247" s="71"/>
      <c r="K247" s="71"/>
      <c r="L247" s="71"/>
      <c r="M247" s="71"/>
      <c r="N247" s="71"/>
    </row>
    <row r="248" spans="1:14" ht="21" thickBot="1" x14ac:dyDescent="0.3">
      <c r="A248" s="71"/>
      <c r="B248" s="71"/>
      <c r="C248" s="71"/>
      <c r="D248" s="71"/>
      <c r="E248" s="46">
        <v>5378</v>
      </c>
      <c r="F248" s="14">
        <f>1286*1.4</f>
        <v>1800.3999999999999</v>
      </c>
      <c r="G248" s="71"/>
      <c r="H248" s="71"/>
      <c r="I248" s="71"/>
      <c r="J248" s="71"/>
      <c r="K248" s="71"/>
      <c r="L248" s="71"/>
      <c r="M248" s="71"/>
      <c r="N248" s="71"/>
    </row>
    <row r="249" spans="1:14" ht="21" thickBot="1" x14ac:dyDescent="0.3">
      <c r="A249" s="71"/>
      <c r="B249" s="71"/>
      <c r="C249" s="71"/>
      <c r="D249" s="71"/>
      <c r="E249" s="46">
        <v>5520</v>
      </c>
      <c r="F249" s="14">
        <f>1455*1.4</f>
        <v>2036.9999999999998</v>
      </c>
      <c r="G249" s="71"/>
      <c r="H249" s="71"/>
      <c r="I249" s="71"/>
      <c r="J249" s="71"/>
      <c r="K249" s="71"/>
      <c r="L249" s="71"/>
      <c r="M249" s="71"/>
      <c r="N249" s="71"/>
    </row>
    <row r="250" spans="1:14" ht="21" thickBot="1" x14ac:dyDescent="0.3">
      <c r="A250" s="71"/>
      <c r="B250" s="71"/>
      <c r="C250" s="71"/>
      <c r="D250" s="71"/>
      <c r="E250" s="46">
        <v>5830</v>
      </c>
      <c r="F250" s="14">
        <f>1390*1.4</f>
        <v>1945.9999999999998</v>
      </c>
      <c r="G250" s="71"/>
      <c r="H250" s="71"/>
      <c r="I250" s="71"/>
      <c r="J250" s="71"/>
      <c r="K250" s="71"/>
      <c r="L250" s="71"/>
      <c r="M250" s="71"/>
      <c r="N250" s="71"/>
    </row>
    <row r="251" spans="1:14" ht="21" thickBot="1" x14ac:dyDescent="0.3">
      <c r="A251" s="71"/>
      <c r="B251" s="71"/>
      <c r="C251" s="71"/>
      <c r="D251" s="71"/>
      <c r="E251" s="10">
        <v>6250</v>
      </c>
      <c r="F251" s="14">
        <f>872*1.4</f>
        <v>1220.8</v>
      </c>
      <c r="G251" s="71"/>
      <c r="H251" s="71"/>
      <c r="I251" s="71"/>
      <c r="J251" s="71"/>
      <c r="K251" s="71"/>
      <c r="L251" s="71"/>
      <c r="M251" s="71"/>
      <c r="N251" s="71"/>
    </row>
    <row r="252" spans="1:14" ht="21" thickBot="1" x14ac:dyDescent="0.3">
      <c r="A252" s="71"/>
      <c r="B252" s="71"/>
      <c r="C252" s="71"/>
      <c r="D252" s="71"/>
      <c r="E252" s="49">
        <v>6378</v>
      </c>
      <c r="F252" s="14">
        <f>984*1.4</f>
        <v>1377.6</v>
      </c>
      <c r="G252" s="71"/>
      <c r="H252" s="71"/>
      <c r="I252" s="71"/>
      <c r="J252" s="71"/>
      <c r="K252" s="71"/>
      <c r="L252" s="71"/>
      <c r="M252" s="71"/>
      <c r="N252" s="71"/>
    </row>
    <row r="253" spans="1:14" ht="34.5" thickBot="1" x14ac:dyDescent="0.3">
      <c r="A253" s="152" t="s">
        <v>3</v>
      </c>
      <c r="B253" s="152"/>
      <c r="C253" s="152"/>
      <c r="D253" s="152"/>
      <c r="E253" s="152">
        <v>9210</v>
      </c>
      <c r="F253" s="152">
        <v>1527.4</v>
      </c>
      <c r="G253" s="152"/>
      <c r="H253" s="152"/>
      <c r="I253" s="152"/>
      <c r="J253" s="152"/>
      <c r="K253" s="152"/>
      <c r="L253" s="152"/>
      <c r="M253" s="152"/>
      <c r="N253" s="152"/>
    </row>
    <row r="254" spans="1:14" ht="15.75" thickTop="1" x14ac:dyDescent="0.25"/>
  </sheetData>
  <mergeCells count="41">
    <mergeCell ref="A253:N253"/>
    <mergeCell ref="A209:D209"/>
    <mergeCell ref="E209:F209"/>
    <mergeCell ref="G209:H209"/>
    <mergeCell ref="I209:J209"/>
    <mergeCell ref="K209:L209"/>
    <mergeCell ref="M161:N161"/>
    <mergeCell ref="A178:N178"/>
    <mergeCell ref="A179:D179"/>
    <mergeCell ref="E179:F179"/>
    <mergeCell ref="G179:H179"/>
    <mergeCell ref="I179:L179"/>
    <mergeCell ref="M179:N179"/>
    <mergeCell ref="C112:D112"/>
    <mergeCell ref="A113:B113"/>
    <mergeCell ref="A127:J127"/>
    <mergeCell ref="K127:N127"/>
    <mergeCell ref="A151:F151"/>
    <mergeCell ref="G151:N151"/>
    <mergeCell ref="A95:N95"/>
    <mergeCell ref="A96:B96"/>
    <mergeCell ref="C96:D96"/>
    <mergeCell ref="E96:J96"/>
    <mergeCell ref="K96:L96"/>
    <mergeCell ref="M96:N96"/>
    <mergeCell ref="A45:D45"/>
    <mergeCell ref="E45:H45"/>
    <mergeCell ref="I45:N45"/>
    <mergeCell ref="A71:D71"/>
    <mergeCell ref="E71:F71"/>
    <mergeCell ref="G71:N71"/>
    <mergeCell ref="A4:K4"/>
    <mergeCell ref="A5:F5"/>
    <mergeCell ref="G5:J5"/>
    <mergeCell ref="K5:L5"/>
    <mergeCell ref="M5:N5"/>
    <mergeCell ref="A1:N1"/>
    <mergeCell ref="A2:K2"/>
    <mergeCell ref="L2:M3"/>
    <mergeCell ref="N2:N3"/>
    <mergeCell ref="A3:K3"/>
  </mergeCells>
  <hyperlinks>
    <hyperlink ref="A4" r:id="rId1" xr:uid="{00000000-0004-0000-0000-000000000000}"/>
  </hyperlinks>
  <printOptions horizontalCentered="1"/>
  <pageMargins left="0.23611111111111099" right="0.23611111111111099" top="0.59027777777777801" bottom="0.55138888888888904" header="0.51180555555555496" footer="0.51180555555555496"/>
  <pageSetup paperSize="9" scale="41" firstPageNumber="0" orientation="portrait" horizontalDpi="300" verticalDpi="300" r:id="rId2"/>
  <rowBreaks count="2" manualBreakCount="2">
    <brk id="94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5709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pc</cp:lastModifiedBy>
  <cp:revision>116</cp:revision>
  <cp:lastPrinted>2022-09-13T12:50:04Z</cp:lastPrinted>
  <dcterms:created xsi:type="dcterms:W3CDTF">2022-05-27T19:52:46Z</dcterms:created>
  <dcterms:modified xsi:type="dcterms:W3CDTF">2022-11-23T20:31:54Z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